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60" windowWidth="20115" windowHeight="8010"/>
  </bookViews>
  <sheets>
    <sheet name="Proformas" sheetId="2" r:id="rId1"/>
    <sheet name="Cost and Debt WS" sheetId="1" r:id="rId2"/>
    <sheet name="Rent Schedule" sheetId="3" r:id="rId3"/>
    <sheet name="LUIG Calculation" sheetId="4" r:id="rId4"/>
  </sheets>
  <calcPr calcId="171027"/>
</workbook>
</file>

<file path=xl/calcChain.xml><?xml version="1.0" encoding="utf-8"?>
<calcChain xmlns="http://schemas.openxmlformats.org/spreadsheetml/2006/main">
  <c r="P22" i="2" l="1"/>
  <c r="I22" i="2"/>
  <c r="P18" i="2"/>
  <c r="I18" i="2"/>
  <c r="B22" i="2"/>
  <c r="B18" i="2"/>
  <c r="D16" i="1" l="1"/>
  <c r="D18" i="1" s="1"/>
  <c r="P40" i="2" s="1"/>
  <c r="D26" i="1"/>
  <c r="P28" i="2"/>
  <c r="Q28" i="2" s="1"/>
  <c r="R28" i="2" s="1"/>
  <c r="S28" i="2" s="1"/>
  <c r="T28" i="2" s="1"/>
  <c r="Q25" i="2"/>
  <c r="R25" i="2" s="1"/>
  <c r="S25" i="2" s="1"/>
  <c r="T25" i="2" s="1"/>
  <c r="Q24" i="2"/>
  <c r="R24" i="2" s="1"/>
  <c r="S24" i="2" s="1"/>
  <c r="T24" i="2" s="1"/>
  <c r="Q23" i="2"/>
  <c r="Q21" i="2"/>
  <c r="R21" i="2" s="1"/>
  <c r="S21" i="2" s="1"/>
  <c r="T21" i="2" s="1"/>
  <c r="Q20" i="2"/>
  <c r="R20" i="2" s="1"/>
  <c r="S20" i="2" s="1"/>
  <c r="T20" i="2" s="1"/>
  <c r="Q19" i="2"/>
  <c r="Q17" i="2"/>
  <c r="R17" i="2" s="1"/>
  <c r="S17" i="2" s="1"/>
  <c r="T17" i="2" s="1"/>
  <c r="Q16" i="2"/>
  <c r="R16" i="2" s="1"/>
  <c r="S16" i="2" s="1"/>
  <c r="T16" i="2" s="1"/>
  <c r="P15" i="2"/>
  <c r="Q14" i="2"/>
  <c r="R14" i="2" s="1"/>
  <c r="S14" i="2" s="1"/>
  <c r="T14" i="2" s="1"/>
  <c r="Q13" i="2"/>
  <c r="R13" i="2" s="1"/>
  <c r="S13" i="2" s="1"/>
  <c r="T13" i="2" s="1"/>
  <c r="Q12" i="2"/>
  <c r="Q11" i="2"/>
  <c r="R11" i="2" s="1"/>
  <c r="Q3" i="2"/>
  <c r="R3" i="2" s="1"/>
  <c r="S3" i="2" s="1"/>
  <c r="T3" i="2" s="1"/>
  <c r="A52" i="3"/>
  <c r="B52" i="3" s="1"/>
  <c r="B50" i="3"/>
  <c r="A50" i="3"/>
  <c r="O44" i="3"/>
  <c r="O46" i="3" s="1"/>
  <c r="K44" i="3"/>
  <c r="K46" i="3" s="1"/>
  <c r="G44" i="3"/>
  <c r="G46" i="3" s="1"/>
  <c r="C44" i="3"/>
  <c r="C46" i="3" s="1"/>
  <c r="N42" i="3"/>
  <c r="A51" i="3" s="1"/>
  <c r="N24" i="3"/>
  <c r="A33" i="3" s="1"/>
  <c r="B33" i="3" s="1"/>
  <c r="A34" i="3"/>
  <c r="B34" i="3" s="1"/>
  <c r="A32" i="3"/>
  <c r="O26" i="3"/>
  <c r="O28" i="3" s="1"/>
  <c r="K26" i="3"/>
  <c r="K28" i="3" s="1"/>
  <c r="G26" i="3"/>
  <c r="G28" i="3" s="1"/>
  <c r="C26" i="3"/>
  <c r="C28" i="3" s="1"/>
  <c r="B28" i="2"/>
  <c r="C28" i="2" s="1"/>
  <c r="D28" i="2" s="1"/>
  <c r="E28" i="2" s="1"/>
  <c r="F28" i="2" s="1"/>
  <c r="C25" i="2"/>
  <c r="D25" i="2" s="1"/>
  <c r="E25" i="2" s="1"/>
  <c r="F25" i="2" s="1"/>
  <c r="C24" i="2"/>
  <c r="D24" i="2" s="1"/>
  <c r="E24" i="2" s="1"/>
  <c r="F24" i="2" s="1"/>
  <c r="C23" i="2"/>
  <c r="C21" i="2"/>
  <c r="D21" i="2" s="1"/>
  <c r="E21" i="2" s="1"/>
  <c r="F21" i="2" s="1"/>
  <c r="C20" i="2"/>
  <c r="D20" i="2" s="1"/>
  <c r="E20" i="2" s="1"/>
  <c r="F20" i="2" s="1"/>
  <c r="C19" i="2"/>
  <c r="C17" i="2"/>
  <c r="D17" i="2" s="1"/>
  <c r="E17" i="2" s="1"/>
  <c r="F17" i="2" s="1"/>
  <c r="C16" i="2"/>
  <c r="D16" i="2" s="1"/>
  <c r="E16" i="2" s="1"/>
  <c r="F16" i="2" s="1"/>
  <c r="B15" i="2"/>
  <c r="C14" i="2"/>
  <c r="D14" i="2" s="1"/>
  <c r="E14" i="2" s="1"/>
  <c r="F14" i="2" s="1"/>
  <c r="C13" i="2"/>
  <c r="D13" i="2" s="1"/>
  <c r="E13" i="2" s="1"/>
  <c r="F13" i="2" s="1"/>
  <c r="C12" i="2"/>
  <c r="C11" i="2"/>
  <c r="D11" i="2" s="1"/>
  <c r="C3" i="2"/>
  <c r="D3" i="2" s="1"/>
  <c r="E3" i="2" s="1"/>
  <c r="F3" i="2" s="1"/>
  <c r="B5" i="4"/>
  <c r="B6" i="4" s="1"/>
  <c r="I28" i="2"/>
  <c r="J28" i="2" s="1"/>
  <c r="K28" i="2" s="1"/>
  <c r="L28" i="2" s="1"/>
  <c r="M28" i="2" s="1"/>
  <c r="I15" i="2"/>
  <c r="B20" i="1"/>
  <c r="B16" i="1"/>
  <c r="B12" i="1"/>
  <c r="B24" i="1" s="1"/>
  <c r="A16" i="3"/>
  <c r="B16" i="3" s="1"/>
  <c r="A15" i="3"/>
  <c r="B15" i="3" s="1"/>
  <c r="A14" i="3"/>
  <c r="O8" i="3"/>
  <c r="O10" i="3" s="1"/>
  <c r="K8" i="3"/>
  <c r="K10" i="3" s="1"/>
  <c r="G8" i="3"/>
  <c r="G10" i="3" s="1"/>
  <c r="C8" i="3"/>
  <c r="C10" i="3" s="1"/>
  <c r="J25" i="2"/>
  <c r="K25" i="2" s="1"/>
  <c r="L25" i="2" s="1"/>
  <c r="M25" i="2" s="1"/>
  <c r="J24" i="2"/>
  <c r="K24" i="2" s="1"/>
  <c r="L24" i="2" s="1"/>
  <c r="M24" i="2" s="1"/>
  <c r="J23" i="2"/>
  <c r="J21" i="2"/>
  <c r="K21" i="2" s="1"/>
  <c r="L21" i="2" s="1"/>
  <c r="M21" i="2" s="1"/>
  <c r="J20" i="2"/>
  <c r="K20" i="2" s="1"/>
  <c r="L20" i="2" s="1"/>
  <c r="M20" i="2" s="1"/>
  <c r="J19" i="2"/>
  <c r="J17" i="2"/>
  <c r="K17" i="2" s="1"/>
  <c r="L17" i="2" s="1"/>
  <c r="M17" i="2" s="1"/>
  <c r="J16" i="2"/>
  <c r="K16" i="2" s="1"/>
  <c r="L16" i="2" s="1"/>
  <c r="M16" i="2" s="1"/>
  <c r="J14" i="2"/>
  <c r="K14" i="2" s="1"/>
  <c r="L14" i="2" s="1"/>
  <c r="M14" i="2" s="1"/>
  <c r="J13" i="2"/>
  <c r="K13" i="2" s="1"/>
  <c r="L13" i="2" s="1"/>
  <c r="M13" i="2" s="1"/>
  <c r="J12" i="2"/>
  <c r="J11" i="2"/>
  <c r="K11" i="2" s="1"/>
  <c r="J3" i="2"/>
  <c r="K3" i="2" s="1"/>
  <c r="L3" i="2" s="1"/>
  <c r="M3" i="2" s="1"/>
  <c r="B7" i="1"/>
  <c r="B10" i="1" s="1"/>
  <c r="Q15" i="2" l="1"/>
  <c r="R15" i="2" s="1"/>
  <c r="S15" i="2" s="1"/>
  <c r="T15" i="2" s="1"/>
  <c r="P10" i="2"/>
  <c r="J15" i="2"/>
  <c r="K15" i="2" s="1"/>
  <c r="L15" i="2" s="1"/>
  <c r="M15" i="2" s="1"/>
  <c r="I10" i="2"/>
  <c r="D20" i="1"/>
  <c r="D22" i="1" s="1"/>
  <c r="P41" i="2" s="1"/>
  <c r="B11" i="1"/>
  <c r="C15" i="2"/>
  <c r="D15" i="2" s="1"/>
  <c r="E15" i="2" s="1"/>
  <c r="F15" i="2" s="1"/>
  <c r="B10" i="2"/>
  <c r="B28" i="1"/>
  <c r="K23" i="2"/>
  <c r="J22" i="2"/>
  <c r="D23" i="2"/>
  <c r="C22" i="2"/>
  <c r="R23" i="2"/>
  <c r="Q22" i="2"/>
  <c r="K19" i="2"/>
  <c r="J18" i="2"/>
  <c r="R19" i="2"/>
  <c r="Q18" i="2"/>
  <c r="D19" i="2"/>
  <c r="C18" i="2"/>
  <c r="D12" i="2"/>
  <c r="K12" i="2"/>
  <c r="J10" i="2"/>
  <c r="R12" i="2"/>
  <c r="Q10" i="2"/>
  <c r="S11" i="2"/>
  <c r="Q5" i="2"/>
  <c r="B51" i="3"/>
  <c r="B53" i="3" s="1"/>
  <c r="P5" i="2" s="1"/>
  <c r="P27" i="2" s="1"/>
  <c r="A53" i="3"/>
  <c r="A35" i="3"/>
  <c r="B32" i="3"/>
  <c r="B35" i="3" s="1"/>
  <c r="B5" i="2" s="1"/>
  <c r="B6" i="2" s="1"/>
  <c r="C6" i="2" s="1"/>
  <c r="D6" i="2" s="1"/>
  <c r="E6" i="2" s="1"/>
  <c r="F6" i="2" s="1"/>
  <c r="E11" i="2"/>
  <c r="A17" i="3"/>
  <c r="B14" i="3"/>
  <c r="B17" i="3" s="1"/>
  <c r="I5" i="2" s="1"/>
  <c r="I27" i="2" s="1"/>
  <c r="I26" i="2" s="1"/>
  <c r="L11" i="2"/>
  <c r="I29" i="2" l="1"/>
  <c r="B29" i="1"/>
  <c r="B30" i="1" s="1"/>
  <c r="P42" i="2" s="1"/>
  <c r="C11" i="1"/>
  <c r="Q27" i="2"/>
  <c r="P26" i="2"/>
  <c r="P29" i="2"/>
  <c r="B14" i="1"/>
  <c r="I34" i="2" s="1"/>
  <c r="P6" i="2"/>
  <c r="Q6" i="2" s="1"/>
  <c r="R6" i="2" s="1"/>
  <c r="S6" i="2" s="1"/>
  <c r="T6" i="2" s="1"/>
  <c r="C10" i="2"/>
  <c r="S23" i="2"/>
  <c r="R22" i="2"/>
  <c r="L23" i="2"/>
  <c r="K22" i="2"/>
  <c r="E23" i="2"/>
  <c r="D22" i="2"/>
  <c r="L19" i="2"/>
  <c r="K18" i="2"/>
  <c r="E19" i="2"/>
  <c r="D18" i="2"/>
  <c r="S19" i="2"/>
  <c r="R18" i="2"/>
  <c r="S12" i="2"/>
  <c r="R10" i="2"/>
  <c r="E12" i="2"/>
  <c r="D10" i="2"/>
  <c r="L12" i="2"/>
  <c r="K10" i="2"/>
  <c r="I6" i="2"/>
  <c r="J6" i="2" s="1"/>
  <c r="K6" i="2" s="1"/>
  <c r="L6" i="2" s="1"/>
  <c r="M6" i="2" s="1"/>
  <c r="Q7" i="2"/>
  <c r="Q8" i="2" s="1"/>
  <c r="R5" i="2"/>
  <c r="P7" i="2"/>
  <c r="P8" i="2" s="1"/>
  <c r="T11" i="2"/>
  <c r="C5" i="2"/>
  <c r="D5" i="2" s="1"/>
  <c r="B27" i="2"/>
  <c r="B26" i="2" s="1"/>
  <c r="B29" i="2" s="1"/>
  <c r="B7" i="2"/>
  <c r="B8" i="2" s="1"/>
  <c r="F11" i="2"/>
  <c r="J5" i="2"/>
  <c r="K5" i="2" s="1"/>
  <c r="J27" i="2"/>
  <c r="M11" i="2"/>
  <c r="R27" i="2" l="1"/>
  <c r="Q26" i="2"/>
  <c r="Q29" i="2" s="1"/>
  <c r="Q31" i="2" s="1"/>
  <c r="B25" i="1"/>
  <c r="B26" i="1" s="1"/>
  <c r="I42" i="2" s="1"/>
  <c r="B21" i="1"/>
  <c r="B22" i="1" s="1"/>
  <c r="I41" i="2" s="1"/>
  <c r="B17" i="1"/>
  <c r="B18" i="1" s="1"/>
  <c r="I40" i="2" s="1"/>
  <c r="J7" i="2"/>
  <c r="J8" i="2" s="1"/>
  <c r="P31" i="2"/>
  <c r="P44" i="2" s="1"/>
  <c r="P49" i="2" s="1"/>
  <c r="K27" i="2"/>
  <c r="J26" i="2"/>
  <c r="J29" i="2" s="1"/>
  <c r="F23" i="2"/>
  <c r="F22" i="2" s="1"/>
  <c r="E22" i="2"/>
  <c r="T23" i="2"/>
  <c r="T22" i="2" s="1"/>
  <c r="S22" i="2"/>
  <c r="M23" i="2"/>
  <c r="M22" i="2" s="1"/>
  <c r="L22" i="2"/>
  <c r="F19" i="2"/>
  <c r="F18" i="2" s="1"/>
  <c r="E18" i="2"/>
  <c r="T19" i="2"/>
  <c r="T18" i="2" s="1"/>
  <c r="S18" i="2"/>
  <c r="M19" i="2"/>
  <c r="M18" i="2" s="1"/>
  <c r="L18" i="2"/>
  <c r="M12" i="2"/>
  <c r="M10" i="2" s="1"/>
  <c r="L10" i="2"/>
  <c r="T12" i="2"/>
  <c r="T10" i="2" s="1"/>
  <c r="S10" i="2"/>
  <c r="F12" i="2"/>
  <c r="F10" i="2" s="1"/>
  <c r="E10" i="2"/>
  <c r="P45" i="2"/>
  <c r="P50" i="2" s="1"/>
  <c r="I7" i="2"/>
  <c r="I8" i="2" s="1"/>
  <c r="I31" i="2" s="1"/>
  <c r="I43" i="2" s="1"/>
  <c r="I48" i="2" s="1"/>
  <c r="J31" i="2"/>
  <c r="P36" i="2"/>
  <c r="R7" i="2"/>
  <c r="R8" i="2" s="1"/>
  <c r="S5" i="2"/>
  <c r="C7" i="2"/>
  <c r="C8" i="2" s="1"/>
  <c r="C27" i="2"/>
  <c r="C26" i="2" s="1"/>
  <c r="C29" i="2" s="1"/>
  <c r="B31" i="2"/>
  <c r="D7" i="2"/>
  <c r="D8" i="2" s="1"/>
  <c r="E5" i="2"/>
  <c r="K7" i="2"/>
  <c r="K8" i="2" s="1"/>
  <c r="L5" i="2"/>
  <c r="Q45" i="2" l="1"/>
  <c r="Q50" i="2" s="1"/>
  <c r="Q36" i="2"/>
  <c r="Q44" i="2"/>
  <c r="Q49" i="2" s="1"/>
  <c r="Q43" i="2"/>
  <c r="Q48" i="2" s="1"/>
  <c r="P43" i="2"/>
  <c r="P48" i="2" s="1"/>
  <c r="R31" i="2"/>
  <c r="R45" i="2" s="1"/>
  <c r="R50" i="2" s="1"/>
  <c r="S27" i="2"/>
  <c r="R26" i="2"/>
  <c r="R29" i="2" s="1"/>
  <c r="L27" i="2"/>
  <c r="K26" i="2"/>
  <c r="K29" i="2" s="1"/>
  <c r="K31" i="2"/>
  <c r="K36" i="2" s="1"/>
  <c r="I36" i="2"/>
  <c r="I49" i="2"/>
  <c r="I45" i="2"/>
  <c r="I50" i="2" s="1"/>
  <c r="S7" i="2"/>
  <c r="S8" i="2" s="1"/>
  <c r="T5" i="2"/>
  <c r="B36" i="2"/>
  <c r="B37" i="2" s="1"/>
  <c r="D27" i="2"/>
  <c r="D26" i="2" s="1"/>
  <c r="D29" i="2" s="1"/>
  <c r="C31" i="2"/>
  <c r="E7" i="2"/>
  <c r="E8" i="2" s="1"/>
  <c r="F5" i="2"/>
  <c r="J36" i="2"/>
  <c r="J45" i="2"/>
  <c r="J50" i="2" s="1"/>
  <c r="J44" i="2"/>
  <c r="J49" i="2" s="1"/>
  <c r="J43" i="2"/>
  <c r="J48" i="2" s="1"/>
  <c r="L7" i="2"/>
  <c r="L8" i="2" s="1"/>
  <c r="M5" i="2"/>
  <c r="T27" i="2" l="1"/>
  <c r="T26" i="2" s="1"/>
  <c r="T29" i="2" s="1"/>
  <c r="S26" i="2"/>
  <c r="S29" i="2" s="1"/>
  <c r="R36" i="2"/>
  <c r="R43" i="2"/>
  <c r="R48" i="2" s="1"/>
  <c r="R44" i="2"/>
  <c r="R49" i="2" s="1"/>
  <c r="S31" i="2"/>
  <c r="S45" i="2" s="1"/>
  <c r="S50" i="2" s="1"/>
  <c r="K45" i="2"/>
  <c r="K50" i="2" s="1"/>
  <c r="M27" i="2"/>
  <c r="M26" i="2" s="1"/>
  <c r="M29" i="2" s="1"/>
  <c r="L26" i="2"/>
  <c r="L29" i="2" s="1"/>
  <c r="L31" i="2" s="1"/>
  <c r="K43" i="2"/>
  <c r="K48" i="2" s="1"/>
  <c r="K44" i="2"/>
  <c r="K49" i="2" s="1"/>
  <c r="S36" i="2"/>
  <c r="T7" i="2"/>
  <c r="T8" i="2" s="1"/>
  <c r="T31" i="2" s="1"/>
  <c r="C36" i="2"/>
  <c r="C37" i="2" s="1"/>
  <c r="E27" i="2"/>
  <c r="E26" i="2" s="1"/>
  <c r="E29" i="2" s="1"/>
  <c r="D31" i="2"/>
  <c r="F7" i="2"/>
  <c r="F8" i="2" s="1"/>
  <c r="M7" i="2"/>
  <c r="M8" i="2" s="1"/>
  <c r="M31" i="2" l="1"/>
  <c r="S43" i="2"/>
  <c r="S48" i="2" s="1"/>
  <c r="S44" i="2"/>
  <c r="S49" i="2" s="1"/>
  <c r="L36" i="2"/>
  <c r="L44" i="2"/>
  <c r="L49" i="2" s="1"/>
  <c r="L43" i="2"/>
  <c r="L48" i="2" s="1"/>
  <c r="L45" i="2"/>
  <c r="L50" i="2" s="1"/>
  <c r="T45" i="2"/>
  <c r="T50" i="2" s="1"/>
  <c r="T44" i="2"/>
  <c r="T49" i="2" s="1"/>
  <c r="T43" i="2"/>
  <c r="T48" i="2" s="1"/>
  <c r="T36" i="2"/>
  <c r="D36" i="2"/>
  <c r="D37" i="2" s="1"/>
  <c r="F27" i="2"/>
  <c r="E31" i="2"/>
  <c r="M45" i="2"/>
  <c r="M50" i="2" s="1"/>
  <c r="M44" i="2"/>
  <c r="M49" i="2" s="1"/>
  <c r="M43" i="2"/>
  <c r="M48" i="2" s="1"/>
  <c r="M36" i="2"/>
  <c r="F26" i="2" l="1"/>
  <c r="F29" i="2" s="1"/>
  <c r="F31" i="2" s="1"/>
  <c r="F36" i="2" s="1"/>
  <c r="F37" i="2" s="1"/>
  <c r="E36" i="2"/>
  <c r="E37" i="2" s="1"/>
</calcChain>
</file>

<file path=xl/sharedStrings.xml><?xml version="1.0" encoding="utf-8"?>
<sst xmlns="http://schemas.openxmlformats.org/spreadsheetml/2006/main" count="266" uniqueCount="98">
  <si>
    <t>Assumptions</t>
  </si>
  <si>
    <t>Units</t>
  </si>
  <si>
    <t>Cost/per</t>
  </si>
  <si>
    <t>land</t>
  </si>
  <si>
    <t>Utilitis/soft</t>
  </si>
  <si>
    <t>Bldg</t>
  </si>
  <si>
    <t>total cost</t>
  </si>
  <si>
    <t>equity</t>
  </si>
  <si>
    <t>Debt</t>
  </si>
  <si>
    <t>Debt Structure 1</t>
  </si>
  <si>
    <t>Conventional</t>
  </si>
  <si>
    <t>Model Pro Forma</t>
  </si>
  <si>
    <t xml:space="preserve"> </t>
  </si>
  <si>
    <t>Gross Rental Income 2%</t>
  </si>
  <si>
    <t>Other Income (Rental, Vending &amp; Tenant Charges) 3%</t>
  </si>
  <si>
    <t>Less Vacancy rate @ 3%</t>
  </si>
  <si>
    <t>Total Effective Gross Income</t>
  </si>
  <si>
    <t>Administrative</t>
  </si>
  <si>
    <t>Salaries &amp; Benefits</t>
  </si>
  <si>
    <t xml:space="preserve">Legal </t>
  </si>
  <si>
    <t>Audit fees/Accounting</t>
  </si>
  <si>
    <t>Compliance Monitoring</t>
  </si>
  <si>
    <t>Taxes</t>
  </si>
  <si>
    <t>Insurance</t>
  </si>
  <si>
    <t xml:space="preserve">Other </t>
  </si>
  <si>
    <t>Utilities</t>
  </si>
  <si>
    <t>Water/Sewer</t>
  </si>
  <si>
    <t>Electric</t>
  </si>
  <si>
    <t>Internet</t>
  </si>
  <si>
    <t>Ordinary maintenance</t>
  </si>
  <si>
    <t>Labor &amp; Benefits</t>
  </si>
  <si>
    <t xml:space="preserve">Materials </t>
  </si>
  <si>
    <t>Contract costs</t>
  </si>
  <si>
    <t>General</t>
  </si>
  <si>
    <t>Collection loss (Bad Debt 2%)</t>
  </si>
  <si>
    <t>Replacement Reserve Deposit ($200 per unit)</t>
  </si>
  <si>
    <t>Total Operating Exp.</t>
  </si>
  <si>
    <t>Net Operating Income</t>
  </si>
  <si>
    <t>Annual Debt Service</t>
  </si>
  <si>
    <t xml:space="preserve">Net Cash Flow </t>
  </si>
  <si>
    <t>Alt Annual Debt Service</t>
  </si>
  <si>
    <t>RENT SCHEDULE</t>
  </si>
  <si>
    <t>30% Rents</t>
  </si>
  <si>
    <t># unit</t>
  </si>
  <si>
    <t>Voucher</t>
  </si>
  <si>
    <t>60% Rents</t>
  </si>
  <si>
    <t>80% Rents</t>
  </si>
  <si>
    <t>100% Rents</t>
  </si>
  <si>
    <t>1-bed (35/58%)</t>
  </si>
  <si>
    <t>Yes</t>
  </si>
  <si>
    <t>No</t>
  </si>
  <si>
    <t>2-bed (15/25%)</t>
  </si>
  <si>
    <t>3-bed (10/17%)</t>
  </si>
  <si>
    <t>% of Units</t>
  </si>
  <si>
    <t>Total Mon. Rent</t>
  </si>
  <si>
    <t>Total Annual Rent</t>
  </si>
  <si>
    <t>1-bed</t>
  </si>
  <si>
    <t>2-bed</t>
  </si>
  <si>
    <t>3-bed</t>
  </si>
  <si>
    <t>Total</t>
  </si>
  <si>
    <t>yes</t>
  </si>
  <si>
    <t>Total (4 units)</t>
  </si>
  <si>
    <t>Debt Service (15yr. loan)</t>
  </si>
  <si>
    <t>HTF@ 20K/Unit</t>
  </si>
  <si>
    <t>LUIG</t>
  </si>
  <si>
    <t>LUIG Calculation</t>
  </si>
  <si>
    <t>Value prior to development</t>
  </si>
  <si>
    <t>Value Post-development</t>
  </si>
  <si>
    <t>difference</t>
  </si>
  <si>
    <t>Tax @ $.50</t>
  </si>
  <si>
    <t>Project Name - 8 unit new apartment development</t>
  </si>
  <si>
    <t>4 @60%, 4@80%</t>
  </si>
  <si>
    <t>8 @ 100%</t>
  </si>
  <si>
    <t>HTF 1: 2%, 20y</t>
  </si>
  <si>
    <t>HTF 2: Princ only</t>
  </si>
  <si>
    <t>HTF3: Int only</t>
  </si>
  <si>
    <t>HTF4: Int only, 80K (50%)</t>
  </si>
  <si>
    <t>Net Cash Flow HTF 4 plus LUIG</t>
  </si>
  <si>
    <t>Net Cash Flow HTF 1 plus LUIG</t>
  </si>
  <si>
    <t>Net Cash Flow HTF 2 plus LUIG</t>
  </si>
  <si>
    <t>Net Cash Flow HTF 3 plus LUIG</t>
  </si>
  <si>
    <t>Coventional 100% AMI Rents</t>
  </si>
  <si>
    <t>50% @ 50% AMI (Vouchers)</t>
  </si>
  <si>
    <t>100% at 50% AMI (Vouchers)</t>
  </si>
  <si>
    <t>Using City Financial Incentives</t>
  </si>
  <si>
    <t>City HTF @$20K/unit, 2% 20 year</t>
  </si>
  <si>
    <t>City HTF @$20K/unit, Principal Only, 20 Y</t>
  </si>
  <si>
    <t>City HTF @$20K/unit, Interest Only, 2%</t>
  </si>
  <si>
    <t>Net Cash Flow HTF 1</t>
  </si>
  <si>
    <t>Net Cash Flow HTF 2</t>
  </si>
  <si>
    <t>Net Cash Flow HTF 3</t>
  </si>
  <si>
    <t>Net Cash Flow HTF 4</t>
  </si>
  <si>
    <t>City HTF, 4 units @$20K unit; 2%, 20 y</t>
  </si>
  <si>
    <t>City HTF, 4 units @$20K unit; princ only</t>
  </si>
  <si>
    <t>City HTF, 4 units @$20K unit; interest only</t>
  </si>
  <si>
    <t>Net Cash Flow HTF 5</t>
  </si>
  <si>
    <t>Net Cash Flow HTF 6</t>
  </si>
  <si>
    <t>Annual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</si>
</sst>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34998626667073579"/>
      <name val="Arial"/>
      <family val="2"/>
    </font>
    <font>
      <sz val="10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9" fontId="0" fillId="0" borderId="0" xfId="0" applyNumberFormat="1"/>
    <xf numFmtId="8" fontId="0" fillId="0" borderId="0" xfId="0" applyNumberFormat="1"/>
    <xf numFmtId="0" fontId="3" fillId="0" borderId="0" xfId="0" applyNumberFormat="1" applyFont="1" applyProtection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0" fillId="0" borderId="0" xfId="0" applyNumberForma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Protection="1"/>
    <xf numFmtId="3" fontId="5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8" fillId="0" borderId="1" xfId="0" applyNumberFormat="1" applyFont="1" applyFill="1" applyBorder="1" applyProtection="1"/>
    <xf numFmtId="3" fontId="5" fillId="0" borderId="1" xfId="0" applyNumberFormat="1" applyFont="1" applyFill="1" applyBorder="1" applyProtection="1"/>
    <xf numFmtId="3" fontId="0" fillId="0" borderId="1" xfId="0" applyNumberFormat="1" applyFill="1" applyBorder="1" applyProtection="1"/>
    <xf numFmtId="0" fontId="8" fillId="0" borderId="1" xfId="0" applyNumberFormat="1" applyFont="1" applyFill="1" applyBorder="1" applyProtection="1"/>
    <xf numFmtId="3" fontId="6" fillId="2" borderId="1" xfId="0" applyNumberFormat="1" applyFont="1" applyFill="1" applyBorder="1" applyProtection="1"/>
    <xf numFmtId="3" fontId="7" fillId="2" borderId="1" xfId="0" applyNumberFormat="1" applyFont="1" applyFill="1" applyBorder="1" applyProtection="1"/>
    <xf numFmtId="3" fontId="0" fillId="0" borderId="1" xfId="0" applyNumberFormat="1" applyBorder="1" applyProtection="1"/>
    <xf numFmtId="3" fontId="5" fillId="0" borderId="1" xfId="0" applyNumberFormat="1" applyFont="1" applyBorder="1" applyProtection="1"/>
    <xf numFmtId="0" fontId="6" fillId="0" borderId="1" xfId="0" applyNumberFormat="1" applyFont="1" applyFill="1" applyBorder="1" applyProtection="1"/>
    <xf numFmtId="3" fontId="6" fillId="3" borderId="1" xfId="0" applyNumberFormat="1" applyFont="1" applyFill="1" applyBorder="1" applyProtection="1"/>
    <xf numFmtId="3" fontId="6" fillId="0" borderId="1" xfId="0" applyNumberFormat="1" applyFont="1" applyBorder="1" applyProtection="1"/>
    <xf numFmtId="3" fontId="7" fillId="0" borderId="1" xfId="0" applyNumberFormat="1" applyFont="1" applyBorder="1" applyProtection="1"/>
    <xf numFmtId="3" fontId="6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6" fontId="8" fillId="0" borderId="1" xfId="0" applyNumberFormat="1" applyFont="1" applyFill="1" applyBorder="1" applyProtection="1"/>
    <xf numFmtId="0" fontId="6" fillId="0" borderId="0" xfId="0" applyFont="1"/>
    <xf numFmtId="0" fontId="0" fillId="0" borderId="0" xfId="0" applyAlignment="1">
      <alignment horizontal="right"/>
    </xf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9" fontId="9" fillId="4" borderId="0" xfId="0" applyNumberFormat="1" applyFont="1" applyFill="1"/>
    <xf numFmtId="9" fontId="10" fillId="4" borderId="0" xfId="0" applyNumberFormat="1" applyFont="1" applyFill="1"/>
    <xf numFmtId="164" fontId="0" fillId="0" borderId="0" xfId="0" applyNumberFormat="1"/>
    <xf numFmtId="0" fontId="8" fillId="0" borderId="0" xfId="0" applyFont="1" applyAlignment="1">
      <alignment horizontal="right"/>
    </xf>
    <xf numFmtId="0" fontId="11" fillId="4" borderId="0" xfId="0" applyFont="1" applyFill="1"/>
    <xf numFmtId="0" fontId="12" fillId="4" borderId="0" xfId="0" applyFont="1" applyFill="1"/>
    <xf numFmtId="0" fontId="0" fillId="0" borderId="2" xfId="0" applyBorder="1"/>
    <xf numFmtId="0" fontId="8" fillId="0" borderId="0" xfId="0" applyFont="1" applyBorder="1" applyAlignment="1">
      <alignment horizontal="right"/>
    </xf>
    <xf numFmtId="0" fontId="11" fillId="4" borderId="0" xfId="0" applyFont="1" applyFill="1" applyBorder="1"/>
    <xf numFmtId="0" fontId="12" fillId="4" borderId="0" xfId="0" applyFont="1" applyFill="1" applyBorder="1"/>
    <xf numFmtId="0" fontId="0" fillId="4" borderId="0" xfId="0" applyFill="1"/>
    <xf numFmtId="0" fontId="11" fillId="0" borderId="0" xfId="0" applyFont="1" applyFill="1"/>
    <xf numFmtId="9" fontId="0" fillId="0" borderId="0" xfId="2" applyFont="1"/>
    <xf numFmtId="9" fontId="0" fillId="0" borderId="0" xfId="2" applyFont="1" applyAlignment="1">
      <alignment horizontal="right"/>
    </xf>
    <xf numFmtId="9" fontId="11" fillId="0" borderId="0" xfId="2" applyFont="1" applyFill="1"/>
    <xf numFmtId="164" fontId="0" fillId="0" borderId="0" xfId="1" applyNumberFormat="1" applyFont="1"/>
    <xf numFmtId="9" fontId="6" fillId="0" borderId="0" xfId="2" applyFont="1" applyAlignment="1">
      <alignment horizontal="right"/>
    </xf>
    <xf numFmtId="164" fontId="0" fillId="0" borderId="2" xfId="0" applyNumberFormat="1" applyBorder="1"/>
    <xf numFmtId="164" fontId="0" fillId="0" borderId="2" xfId="1" applyNumberFormat="1" applyFont="1" applyBorder="1"/>
    <xf numFmtId="3" fontId="6" fillId="5" borderId="1" xfId="0" applyNumberFormat="1" applyFont="1" applyFill="1" applyBorder="1" applyProtection="1"/>
    <xf numFmtId="0" fontId="13" fillId="0" borderId="0" xfId="3"/>
    <xf numFmtId="6" fontId="6" fillId="0" borderId="1" xfId="0" applyNumberFormat="1" applyFont="1" applyFill="1" applyBorder="1" applyProtection="1"/>
    <xf numFmtId="6" fontId="6" fillId="0" borderId="0" xfId="0" applyNumberFormat="1" applyFont="1" applyFill="1" applyBorder="1" applyProtection="1"/>
    <xf numFmtId="0" fontId="2" fillId="0" borderId="0" xfId="0" applyFont="1"/>
    <xf numFmtId="3" fontId="6" fillId="6" borderId="1" xfId="0" applyNumberFormat="1" applyFont="1" applyFill="1" applyBorder="1" applyProtection="1"/>
    <xf numFmtId="3" fontId="0" fillId="0" borderId="0" xfId="0" applyNumberFormat="1" applyFill="1"/>
    <xf numFmtId="10" fontId="0" fillId="0" borderId="0" xfId="0" applyNumberFormat="1"/>
    <xf numFmtId="3" fontId="0" fillId="0" borderId="0" xfId="0" applyNumberFormat="1"/>
    <xf numFmtId="3" fontId="2" fillId="0" borderId="1" xfId="0" applyNumberFormat="1" applyFont="1" applyFill="1" applyBorder="1" applyProtection="1"/>
    <xf numFmtId="3" fontId="6" fillId="7" borderId="1" xfId="0" applyNumberFormat="1" applyFont="1" applyFill="1" applyBorder="1" applyProtection="1"/>
    <xf numFmtId="3" fontId="2" fillId="7" borderId="1" xfId="0" applyNumberFormat="1" applyFont="1" applyFill="1" applyBorder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TF@%2020K/Un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J29" workbookViewId="0">
      <selection activeCell="M50" sqref="M50"/>
    </sheetView>
  </sheetViews>
  <sheetFormatPr defaultRowHeight="15" x14ac:dyDescent="0.25"/>
  <cols>
    <col min="1" max="1" width="56.28515625" bestFit="1" customWidth="1"/>
    <col min="2" max="2" width="13.140625" customWidth="1"/>
    <col min="3" max="3" width="11.7109375" customWidth="1"/>
    <col min="4" max="4" width="12.5703125" customWidth="1"/>
    <col min="5" max="5" width="11.85546875" customWidth="1"/>
    <col min="6" max="6" width="12.42578125" bestFit="1" customWidth="1"/>
    <col min="8" max="8" width="56.28515625" bestFit="1" customWidth="1"/>
    <col min="9" max="9" width="13.140625" customWidth="1"/>
    <col min="10" max="10" width="11.7109375" customWidth="1"/>
    <col min="11" max="11" width="12.5703125" customWidth="1"/>
    <col min="12" max="12" width="11.85546875" customWidth="1"/>
    <col min="13" max="13" width="12.42578125" bestFit="1" customWidth="1"/>
    <col min="15" max="15" width="56.28515625" bestFit="1" customWidth="1"/>
    <col min="16" max="16" width="13.140625" customWidth="1"/>
    <col min="17" max="17" width="11.7109375" customWidth="1"/>
    <col min="18" max="18" width="12.5703125" customWidth="1"/>
    <col min="19" max="19" width="11.85546875" customWidth="1"/>
    <col min="20" max="20" width="12.42578125" bestFit="1" customWidth="1"/>
  </cols>
  <sheetData>
    <row r="1" spans="1:20" x14ac:dyDescent="0.25">
      <c r="A1" s="55" t="s">
        <v>81</v>
      </c>
      <c r="H1" s="55" t="s">
        <v>83</v>
      </c>
      <c r="O1" t="s">
        <v>82</v>
      </c>
    </row>
    <row r="2" spans="1:20" ht="15.75" x14ac:dyDescent="0.25">
      <c r="A2" s="3" t="s">
        <v>12</v>
      </c>
      <c r="B2" s="4"/>
      <c r="C2" s="5"/>
      <c r="D2" s="6" t="s">
        <v>12</v>
      </c>
      <c r="E2" s="6"/>
      <c r="F2" s="6"/>
      <c r="H2" s="3" t="s">
        <v>12</v>
      </c>
      <c r="I2" s="4"/>
      <c r="J2" s="5"/>
      <c r="K2" s="6" t="s">
        <v>12</v>
      </c>
      <c r="L2" s="6"/>
      <c r="M2" s="6"/>
      <c r="O2" s="3" t="s">
        <v>11</v>
      </c>
      <c r="P2" s="4"/>
      <c r="Q2" s="5"/>
      <c r="R2" s="6" t="s">
        <v>12</v>
      </c>
      <c r="S2" s="6"/>
      <c r="T2" s="6"/>
    </row>
    <row r="3" spans="1:20" x14ac:dyDescent="0.25">
      <c r="A3" s="7" t="s">
        <v>70</v>
      </c>
      <c r="B3" s="8">
        <v>2018</v>
      </c>
      <c r="C3" s="9">
        <f>B3+1</f>
        <v>2019</v>
      </c>
      <c r="D3" s="8">
        <f>C3+1</f>
        <v>2020</v>
      </c>
      <c r="E3" s="8">
        <f>D3+1</f>
        <v>2021</v>
      </c>
      <c r="F3" s="9">
        <f>E3+1</f>
        <v>2022</v>
      </c>
      <c r="H3" s="7" t="s">
        <v>70</v>
      </c>
      <c r="I3" s="8">
        <v>2018</v>
      </c>
      <c r="J3" s="9">
        <f>I3+1</f>
        <v>2019</v>
      </c>
      <c r="K3" s="8">
        <f t="shared" ref="K3:M3" si="0">J3+1</f>
        <v>2020</v>
      </c>
      <c r="L3" s="8">
        <f t="shared" si="0"/>
        <v>2021</v>
      </c>
      <c r="M3" s="9">
        <f t="shared" si="0"/>
        <v>2022</v>
      </c>
      <c r="O3" s="7" t="s">
        <v>70</v>
      </c>
      <c r="P3" s="8">
        <v>2018</v>
      </c>
      <c r="Q3" s="9">
        <f>P3+1</f>
        <v>2019</v>
      </c>
      <c r="R3" s="8">
        <f t="shared" ref="R3" si="1">Q3+1</f>
        <v>2020</v>
      </c>
      <c r="S3" s="8">
        <f t="shared" ref="S3" si="2">R3+1</f>
        <v>2021</v>
      </c>
      <c r="T3" s="9">
        <f t="shared" ref="T3" si="3">S3+1</f>
        <v>2022</v>
      </c>
    </row>
    <row r="4" spans="1:20" x14ac:dyDescent="0.25">
      <c r="A4" s="7"/>
      <c r="B4" s="8">
        <v>1</v>
      </c>
      <c r="C4" s="9">
        <v>2</v>
      </c>
      <c r="D4" s="8">
        <v>3</v>
      </c>
      <c r="E4" s="8">
        <v>4</v>
      </c>
      <c r="F4" s="8">
        <v>5</v>
      </c>
      <c r="H4" s="7"/>
      <c r="I4" s="8">
        <v>1</v>
      </c>
      <c r="J4" s="9">
        <v>2</v>
      </c>
      <c r="K4" s="8">
        <v>3</v>
      </c>
      <c r="L4" s="8">
        <v>4</v>
      </c>
      <c r="M4" s="8">
        <v>5</v>
      </c>
      <c r="O4" s="7"/>
      <c r="P4" s="8">
        <v>1</v>
      </c>
      <c r="Q4" s="9">
        <v>2</v>
      </c>
      <c r="R4" s="8">
        <v>3</v>
      </c>
      <c r="S4" s="8">
        <v>4</v>
      </c>
      <c r="T4" s="8">
        <v>5</v>
      </c>
    </row>
    <row r="5" spans="1:20" x14ac:dyDescent="0.25">
      <c r="A5" s="10" t="s">
        <v>13</v>
      </c>
      <c r="B5" s="11">
        <f>'Rent Schedule'!B35</f>
        <v>114624</v>
      </c>
      <c r="C5" s="12">
        <f>+B5*1.02</f>
        <v>116916.48</v>
      </c>
      <c r="D5" s="12">
        <f>+C5*1.02</f>
        <v>119254.80959999999</v>
      </c>
      <c r="E5" s="12">
        <f>+D5*1.02</f>
        <v>121639.90579199999</v>
      </c>
      <c r="F5" s="12">
        <f>+E5*1.02</f>
        <v>124072.70390784</v>
      </c>
      <c r="H5" s="10" t="s">
        <v>13</v>
      </c>
      <c r="I5" s="11">
        <f>'Rent Schedule'!B17</f>
        <v>95232</v>
      </c>
      <c r="J5" s="12">
        <f t="shared" ref="J5:M5" si="4">+I5*1.02</f>
        <v>97136.639999999999</v>
      </c>
      <c r="K5" s="12">
        <f t="shared" si="4"/>
        <v>99079.372799999997</v>
      </c>
      <c r="L5" s="12">
        <f t="shared" si="4"/>
        <v>101060.96025600001</v>
      </c>
      <c r="M5" s="12">
        <f t="shared" si="4"/>
        <v>103082.17946112</v>
      </c>
      <c r="O5" s="10" t="s">
        <v>13</v>
      </c>
      <c r="P5" s="11">
        <f>'Rent Schedule'!B53</f>
        <v>104928</v>
      </c>
      <c r="Q5" s="12">
        <f t="shared" ref="Q5" si="5">+P5*1.02</f>
        <v>107026.56</v>
      </c>
      <c r="R5" s="12">
        <f t="shared" ref="R5" si="6">+Q5*1.02</f>
        <v>109167.0912</v>
      </c>
      <c r="S5" s="12">
        <f t="shared" ref="S5" si="7">+R5*1.02</f>
        <v>111350.433024</v>
      </c>
      <c r="T5" s="12">
        <f t="shared" ref="T5" si="8">+S5*1.02</f>
        <v>113577.44168448</v>
      </c>
    </row>
    <row r="6" spans="1:20" x14ac:dyDescent="0.25">
      <c r="A6" s="10" t="s">
        <v>14</v>
      </c>
      <c r="B6" s="13">
        <f>B5*0.03</f>
        <v>3438.72</v>
      </c>
      <c r="C6" s="14">
        <f>+B6*1.03</f>
        <v>3541.8815999999997</v>
      </c>
      <c r="D6" s="15">
        <f>+C6*1.03</f>
        <v>3648.1380479999998</v>
      </c>
      <c r="E6" s="15">
        <f>+D6*1.03</f>
        <v>3757.5821894400001</v>
      </c>
      <c r="F6" s="15">
        <f>+E6*1.03</f>
        <v>3870.3096551232002</v>
      </c>
      <c r="H6" s="10" t="s">
        <v>14</v>
      </c>
      <c r="I6" s="13">
        <f>I5*0.03</f>
        <v>2856.96</v>
      </c>
      <c r="J6" s="14">
        <f>+I6*1.03</f>
        <v>2942.6687999999999</v>
      </c>
      <c r="K6" s="15">
        <f t="shared" ref="K6:M6" si="9">+J6*1.03</f>
        <v>3030.948864</v>
      </c>
      <c r="L6" s="15">
        <f t="shared" si="9"/>
        <v>3121.8773299200002</v>
      </c>
      <c r="M6" s="15">
        <f t="shared" si="9"/>
        <v>3215.5336498176002</v>
      </c>
      <c r="O6" s="10" t="s">
        <v>14</v>
      </c>
      <c r="P6" s="13">
        <f>P5*0.03</f>
        <v>3147.8399999999997</v>
      </c>
      <c r="Q6" s="14">
        <f>+P6*1.03</f>
        <v>3242.2751999999996</v>
      </c>
      <c r="R6" s="15">
        <f t="shared" ref="R6" si="10">+Q6*1.03</f>
        <v>3339.5434559999999</v>
      </c>
      <c r="S6" s="15">
        <f t="shared" ref="S6" si="11">+R6*1.03</f>
        <v>3439.7297596799999</v>
      </c>
      <c r="T6" s="15">
        <f t="shared" ref="T6" si="12">+S6*1.03</f>
        <v>3542.9216524704002</v>
      </c>
    </row>
    <row r="7" spans="1:20" x14ac:dyDescent="0.25">
      <c r="A7" s="16" t="s">
        <v>15</v>
      </c>
      <c r="B7" s="15">
        <f>(B5+B6)*-0.03</f>
        <v>-3541.8815999999997</v>
      </c>
      <c r="C7" s="15">
        <f>(C5+C6)*-0.03</f>
        <v>-3613.7508479999997</v>
      </c>
      <c r="D7" s="15">
        <f>(D5+D6)*-0.03</f>
        <v>-3687.0884294399993</v>
      </c>
      <c r="E7" s="15">
        <f>(E5+E6)*-0.03</f>
        <v>-3761.9246394431993</v>
      </c>
      <c r="F7" s="15">
        <f>(F5+F6)*-0.03</f>
        <v>-3838.2904068888956</v>
      </c>
      <c r="H7" s="16" t="s">
        <v>15</v>
      </c>
      <c r="I7" s="15">
        <f>(I5+I6)*-0.03</f>
        <v>-2942.6687999999999</v>
      </c>
      <c r="J7" s="15">
        <f t="shared" ref="J7:M7" si="13">(J5+J6)*-0.03</f>
        <v>-3002.3792639999997</v>
      </c>
      <c r="K7" s="15">
        <f t="shared" si="13"/>
        <v>-3063.3096499200001</v>
      </c>
      <c r="L7" s="15">
        <f t="shared" si="13"/>
        <v>-3125.4851275776</v>
      </c>
      <c r="M7" s="15">
        <f t="shared" si="13"/>
        <v>-3188.9313933281283</v>
      </c>
      <c r="O7" s="16" t="s">
        <v>15</v>
      </c>
      <c r="P7" s="15">
        <f>(P5+P6)*-0.03</f>
        <v>-3242.2751999999996</v>
      </c>
      <c r="Q7" s="15">
        <f t="shared" ref="Q7:T7" si="14">(Q5+Q6)*-0.03</f>
        <v>-3308.0650559999999</v>
      </c>
      <c r="R7" s="15">
        <f t="shared" si="14"/>
        <v>-3375.1990396799997</v>
      </c>
      <c r="S7" s="15">
        <f t="shared" si="14"/>
        <v>-3443.7048835104001</v>
      </c>
      <c r="T7" s="15">
        <f t="shared" si="14"/>
        <v>-3513.6109001085119</v>
      </c>
    </row>
    <row r="8" spans="1:20" x14ac:dyDescent="0.25">
      <c r="A8" s="7" t="s">
        <v>16</v>
      </c>
      <c r="B8" s="17">
        <f>SUM(B5:B7)</f>
        <v>114520.83840000001</v>
      </c>
      <c r="C8" s="18">
        <f>SUM(C5:C7)</f>
        <v>116844.61075199999</v>
      </c>
      <c r="D8" s="17">
        <f>SUM(D5:D7)</f>
        <v>119215.85921855998</v>
      </c>
      <c r="E8" s="17">
        <f>SUM(E5:E7)</f>
        <v>121635.56334199679</v>
      </c>
      <c r="F8" s="17">
        <f>SUM(F5:F7)</f>
        <v>124104.72315607431</v>
      </c>
      <c r="H8" s="7" t="s">
        <v>16</v>
      </c>
      <c r="I8" s="17">
        <f t="shared" ref="I8:M8" si="15">SUM(I5:I7)</f>
        <v>95146.291200000007</v>
      </c>
      <c r="J8" s="18">
        <f t="shared" si="15"/>
        <v>97076.929535999996</v>
      </c>
      <c r="K8" s="17">
        <f t="shared" si="15"/>
        <v>99047.012014079999</v>
      </c>
      <c r="L8" s="17">
        <f t="shared" si="15"/>
        <v>101057.3524583424</v>
      </c>
      <c r="M8" s="17">
        <f t="shared" si="15"/>
        <v>103108.78171760948</v>
      </c>
      <c r="O8" s="7" t="s">
        <v>16</v>
      </c>
      <c r="P8" s="17">
        <f t="shared" ref="P8:T8" si="16">SUM(P5:P7)</f>
        <v>104833.56479999999</v>
      </c>
      <c r="Q8" s="18">
        <f t="shared" si="16"/>
        <v>106960.77014399999</v>
      </c>
      <c r="R8" s="17">
        <f t="shared" si="16"/>
        <v>109131.43561632</v>
      </c>
      <c r="S8" s="17">
        <f t="shared" si="16"/>
        <v>111346.4579001696</v>
      </c>
      <c r="T8" s="17">
        <f t="shared" si="16"/>
        <v>113606.75243684188</v>
      </c>
    </row>
    <row r="9" spans="1:20" x14ac:dyDescent="0.25">
      <c r="A9" s="7" t="s">
        <v>12</v>
      </c>
      <c r="B9" s="19" t="s">
        <v>12</v>
      </c>
      <c r="C9" s="20"/>
      <c r="D9" s="19"/>
      <c r="E9" s="19"/>
      <c r="F9" s="19"/>
      <c r="H9" s="7" t="s">
        <v>12</v>
      </c>
      <c r="I9" s="19" t="s">
        <v>12</v>
      </c>
      <c r="J9" s="20"/>
      <c r="K9" s="19"/>
      <c r="L9" s="19"/>
      <c r="M9" s="19"/>
      <c r="O9" s="7" t="s">
        <v>12</v>
      </c>
      <c r="P9" s="19" t="s">
        <v>12</v>
      </c>
      <c r="Q9" s="20"/>
      <c r="R9" s="19"/>
      <c r="S9" s="19"/>
      <c r="T9" s="19"/>
    </row>
    <row r="10" spans="1:20" ht="14.25" customHeight="1" x14ac:dyDescent="0.25">
      <c r="A10" s="7" t="s">
        <v>17</v>
      </c>
      <c r="B10" s="13">
        <f>SUM(B12:B17)</f>
        <v>20100</v>
      </c>
      <c r="C10" s="13">
        <f t="shared" ref="C10:F10" si="17">SUM(C12:C17)</f>
        <v>20703</v>
      </c>
      <c r="D10" s="13">
        <f t="shared" si="17"/>
        <v>21324.09</v>
      </c>
      <c r="E10" s="13">
        <f t="shared" si="17"/>
        <v>21963.812700000002</v>
      </c>
      <c r="F10" s="13">
        <f t="shared" si="17"/>
        <v>22622.727081000005</v>
      </c>
      <c r="H10" s="7" t="s">
        <v>17</v>
      </c>
      <c r="I10" s="13">
        <f t="shared" ref="I10:M10" si="18">SUM(I12:I17)</f>
        <v>20100</v>
      </c>
      <c r="J10" s="13">
        <f t="shared" si="18"/>
        <v>20703</v>
      </c>
      <c r="K10" s="13">
        <f t="shared" si="18"/>
        <v>21324.09</v>
      </c>
      <c r="L10" s="13">
        <f t="shared" si="18"/>
        <v>21963.812700000002</v>
      </c>
      <c r="M10" s="13">
        <f t="shared" si="18"/>
        <v>22622.727081000005</v>
      </c>
      <c r="O10" s="7" t="s">
        <v>17</v>
      </c>
      <c r="P10" s="13">
        <f t="shared" ref="P10:T10" si="19">SUM(P12:P17)</f>
        <v>20100</v>
      </c>
      <c r="Q10" s="13">
        <f t="shared" si="19"/>
        <v>20703</v>
      </c>
      <c r="R10" s="13">
        <f t="shared" si="19"/>
        <v>21324.09</v>
      </c>
      <c r="S10" s="13">
        <f t="shared" si="19"/>
        <v>21963.812700000002</v>
      </c>
      <c r="T10" s="13">
        <f t="shared" si="19"/>
        <v>22622.727081000005</v>
      </c>
    </row>
    <row r="11" spans="1:20" hidden="1" x14ac:dyDescent="0.25">
      <c r="A11" s="16" t="s">
        <v>18</v>
      </c>
      <c r="B11" s="15">
        <v>2400</v>
      </c>
      <c r="C11" s="15">
        <f>+B11*1.03</f>
        <v>2472</v>
      </c>
      <c r="D11" s="15">
        <f>+C11*1.03</f>
        <v>2546.16</v>
      </c>
      <c r="E11" s="15">
        <f>+D11*1.03</f>
        <v>2622.5448000000001</v>
      </c>
      <c r="F11" s="15">
        <f>+E11*1.03</f>
        <v>2701.2211440000001</v>
      </c>
      <c r="H11" s="16" t="s">
        <v>18</v>
      </c>
      <c r="I11" s="15">
        <v>2400</v>
      </c>
      <c r="J11" s="15">
        <f t="shared" ref="J11:M11" si="20">+I11*1.03</f>
        <v>2472</v>
      </c>
      <c r="K11" s="15">
        <f t="shared" si="20"/>
        <v>2546.16</v>
      </c>
      <c r="L11" s="15">
        <f t="shared" si="20"/>
        <v>2622.5448000000001</v>
      </c>
      <c r="M11" s="15">
        <f t="shared" si="20"/>
        <v>2701.2211440000001</v>
      </c>
      <c r="O11" s="16" t="s">
        <v>18</v>
      </c>
      <c r="P11" s="15">
        <v>2400</v>
      </c>
      <c r="Q11" s="15">
        <f t="shared" ref="Q11" si="21">+P11*1.03</f>
        <v>2472</v>
      </c>
      <c r="R11" s="15">
        <f t="shared" ref="R11" si="22">+Q11*1.03</f>
        <v>2546.16</v>
      </c>
      <c r="S11" s="15">
        <f t="shared" ref="S11" si="23">+R11*1.03</f>
        <v>2622.5448000000001</v>
      </c>
      <c r="T11" s="15">
        <f t="shared" ref="T11" si="24">+S11*1.03</f>
        <v>2701.2211440000001</v>
      </c>
    </row>
    <row r="12" spans="1:20" hidden="1" x14ac:dyDescent="0.25">
      <c r="A12" s="16" t="s">
        <v>19</v>
      </c>
      <c r="B12" s="15">
        <v>600</v>
      </c>
      <c r="C12" s="15">
        <f t="shared" ref="C12:F17" si="25">B12*1.03</f>
        <v>618</v>
      </c>
      <c r="D12" s="15">
        <f t="shared" si="25"/>
        <v>636.54</v>
      </c>
      <c r="E12" s="15">
        <f t="shared" si="25"/>
        <v>655.63620000000003</v>
      </c>
      <c r="F12" s="15">
        <f t="shared" si="25"/>
        <v>675.30528600000002</v>
      </c>
      <c r="H12" s="16" t="s">
        <v>19</v>
      </c>
      <c r="I12" s="15">
        <v>600</v>
      </c>
      <c r="J12" s="15">
        <f t="shared" ref="J12:M16" si="26">I12*1.03</f>
        <v>618</v>
      </c>
      <c r="K12" s="15">
        <f t="shared" si="26"/>
        <v>636.54</v>
      </c>
      <c r="L12" s="15">
        <f t="shared" si="26"/>
        <v>655.63620000000003</v>
      </c>
      <c r="M12" s="15">
        <f t="shared" si="26"/>
        <v>675.30528600000002</v>
      </c>
      <c r="O12" s="16" t="s">
        <v>19</v>
      </c>
      <c r="P12" s="15">
        <v>600</v>
      </c>
      <c r="Q12" s="15">
        <f t="shared" ref="Q12:Q15" si="27">P12*1.03</f>
        <v>618</v>
      </c>
      <c r="R12" s="15">
        <f t="shared" ref="R12:R17" si="28">Q12*1.03</f>
        <v>636.54</v>
      </c>
      <c r="S12" s="15">
        <f t="shared" ref="S12:S17" si="29">R12*1.03</f>
        <v>655.63620000000003</v>
      </c>
      <c r="T12" s="15">
        <f t="shared" ref="T12:T17" si="30">S12*1.03</f>
        <v>675.30528600000002</v>
      </c>
    </row>
    <row r="13" spans="1:20" hidden="1" x14ac:dyDescent="0.25">
      <c r="A13" s="16" t="s">
        <v>20</v>
      </c>
      <c r="B13" s="15">
        <v>250</v>
      </c>
      <c r="C13" s="15">
        <f t="shared" si="25"/>
        <v>257.5</v>
      </c>
      <c r="D13" s="15">
        <f t="shared" si="25"/>
        <v>265.22500000000002</v>
      </c>
      <c r="E13" s="15">
        <f t="shared" si="25"/>
        <v>273.18175000000002</v>
      </c>
      <c r="F13" s="15">
        <f t="shared" si="25"/>
        <v>281.37720250000001</v>
      </c>
      <c r="H13" s="16" t="s">
        <v>20</v>
      </c>
      <c r="I13" s="15">
        <v>250</v>
      </c>
      <c r="J13" s="15">
        <f t="shared" si="26"/>
        <v>257.5</v>
      </c>
      <c r="K13" s="15">
        <f t="shared" si="26"/>
        <v>265.22500000000002</v>
      </c>
      <c r="L13" s="15">
        <f t="shared" si="26"/>
        <v>273.18175000000002</v>
      </c>
      <c r="M13" s="15">
        <f t="shared" si="26"/>
        <v>281.37720250000001</v>
      </c>
      <c r="O13" s="16" t="s">
        <v>20</v>
      </c>
      <c r="P13" s="15">
        <v>250</v>
      </c>
      <c r="Q13" s="15">
        <f t="shared" si="27"/>
        <v>257.5</v>
      </c>
      <c r="R13" s="15">
        <f t="shared" si="28"/>
        <v>265.22500000000002</v>
      </c>
      <c r="S13" s="15">
        <f t="shared" si="29"/>
        <v>273.18175000000002</v>
      </c>
      <c r="T13" s="15">
        <f t="shared" si="30"/>
        <v>281.37720250000001</v>
      </c>
    </row>
    <row r="14" spans="1:20" hidden="1" x14ac:dyDescent="0.25">
      <c r="A14" s="16" t="s">
        <v>21</v>
      </c>
      <c r="B14" s="15">
        <v>0</v>
      </c>
      <c r="C14" s="15">
        <f t="shared" si="25"/>
        <v>0</v>
      </c>
      <c r="D14" s="15">
        <f t="shared" si="25"/>
        <v>0</v>
      </c>
      <c r="E14" s="15">
        <f t="shared" si="25"/>
        <v>0</v>
      </c>
      <c r="F14" s="15">
        <f t="shared" si="25"/>
        <v>0</v>
      </c>
      <c r="H14" s="16" t="s">
        <v>21</v>
      </c>
      <c r="I14" s="15">
        <v>0</v>
      </c>
      <c r="J14" s="15">
        <f t="shared" si="26"/>
        <v>0</v>
      </c>
      <c r="K14" s="15">
        <f t="shared" si="26"/>
        <v>0</v>
      </c>
      <c r="L14" s="15">
        <f t="shared" si="26"/>
        <v>0</v>
      </c>
      <c r="M14" s="15">
        <f t="shared" si="26"/>
        <v>0</v>
      </c>
      <c r="O14" s="16" t="s">
        <v>21</v>
      </c>
      <c r="P14" s="15">
        <v>0</v>
      </c>
      <c r="Q14" s="15">
        <f t="shared" si="27"/>
        <v>0</v>
      </c>
      <c r="R14" s="15">
        <f t="shared" si="28"/>
        <v>0</v>
      </c>
      <c r="S14" s="15">
        <f t="shared" si="29"/>
        <v>0</v>
      </c>
      <c r="T14" s="15">
        <f t="shared" si="30"/>
        <v>0</v>
      </c>
    </row>
    <row r="15" spans="1:20" hidden="1" x14ac:dyDescent="0.25">
      <c r="A15" s="16" t="s">
        <v>22</v>
      </c>
      <c r="B15" s="15">
        <f>900000/100*1.25</f>
        <v>11250</v>
      </c>
      <c r="C15" s="15">
        <f t="shared" si="25"/>
        <v>11587.5</v>
      </c>
      <c r="D15" s="15">
        <f t="shared" si="25"/>
        <v>11935.125</v>
      </c>
      <c r="E15" s="15">
        <f t="shared" si="25"/>
        <v>12293.178750000001</v>
      </c>
      <c r="F15" s="15">
        <f t="shared" si="25"/>
        <v>12661.974112500002</v>
      </c>
      <c r="H15" s="16" t="s">
        <v>22</v>
      </c>
      <c r="I15" s="15">
        <f>900000/100*1.25</f>
        <v>11250</v>
      </c>
      <c r="J15" s="15">
        <f t="shared" si="26"/>
        <v>11587.5</v>
      </c>
      <c r="K15" s="15">
        <f t="shared" si="26"/>
        <v>11935.125</v>
      </c>
      <c r="L15" s="15">
        <f t="shared" si="26"/>
        <v>12293.178750000001</v>
      </c>
      <c r="M15" s="15">
        <f t="shared" si="26"/>
        <v>12661.974112500002</v>
      </c>
      <c r="O15" s="16" t="s">
        <v>22</v>
      </c>
      <c r="P15" s="15">
        <f>900000/100*1.25</f>
        <v>11250</v>
      </c>
      <c r="Q15" s="15">
        <f t="shared" si="27"/>
        <v>11587.5</v>
      </c>
      <c r="R15" s="15">
        <f t="shared" si="28"/>
        <v>11935.125</v>
      </c>
      <c r="S15" s="15">
        <f t="shared" si="29"/>
        <v>12293.178750000001</v>
      </c>
      <c r="T15" s="15">
        <f t="shared" si="30"/>
        <v>12661.974112500002</v>
      </c>
    </row>
    <row r="16" spans="1:20" hidden="1" x14ac:dyDescent="0.25">
      <c r="A16" s="16" t="s">
        <v>23</v>
      </c>
      <c r="B16" s="15">
        <v>8000</v>
      </c>
      <c r="C16" s="15">
        <f t="shared" si="25"/>
        <v>8240</v>
      </c>
      <c r="D16" s="15">
        <f t="shared" si="25"/>
        <v>8487.2000000000007</v>
      </c>
      <c r="E16" s="15">
        <f t="shared" si="25"/>
        <v>8741.8160000000007</v>
      </c>
      <c r="F16" s="15">
        <f t="shared" si="25"/>
        <v>9004.0704800000003</v>
      </c>
      <c r="H16" s="16" t="s">
        <v>23</v>
      </c>
      <c r="I16" s="15">
        <v>8000</v>
      </c>
      <c r="J16" s="15">
        <f>I16*1.03</f>
        <v>8240</v>
      </c>
      <c r="K16" s="15">
        <f t="shared" si="26"/>
        <v>8487.2000000000007</v>
      </c>
      <c r="L16" s="15">
        <f t="shared" si="26"/>
        <v>8741.8160000000007</v>
      </c>
      <c r="M16" s="15">
        <f t="shared" si="26"/>
        <v>9004.0704800000003</v>
      </c>
      <c r="O16" s="16" t="s">
        <v>23</v>
      </c>
      <c r="P16" s="15">
        <v>8000</v>
      </c>
      <c r="Q16" s="15">
        <f>P16*1.03</f>
        <v>8240</v>
      </c>
      <c r="R16" s="15">
        <f t="shared" si="28"/>
        <v>8487.2000000000007</v>
      </c>
      <c r="S16" s="15">
        <f t="shared" si="29"/>
        <v>8741.8160000000007</v>
      </c>
      <c r="T16" s="15">
        <f t="shared" si="30"/>
        <v>9004.0704800000003</v>
      </c>
    </row>
    <row r="17" spans="1:20" hidden="1" x14ac:dyDescent="0.25">
      <c r="A17" s="16" t="s">
        <v>24</v>
      </c>
      <c r="B17" s="15">
        <v>0</v>
      </c>
      <c r="C17" s="15">
        <f t="shared" si="25"/>
        <v>0</v>
      </c>
      <c r="D17" s="15">
        <f t="shared" si="25"/>
        <v>0</v>
      </c>
      <c r="E17" s="15">
        <f t="shared" si="25"/>
        <v>0</v>
      </c>
      <c r="F17" s="15">
        <f t="shared" si="25"/>
        <v>0</v>
      </c>
      <c r="H17" s="16" t="s">
        <v>24</v>
      </c>
      <c r="I17" s="15">
        <v>0</v>
      </c>
      <c r="J17" s="15">
        <f t="shared" ref="J17:M17" si="31">I17*1.03</f>
        <v>0</v>
      </c>
      <c r="K17" s="15">
        <f t="shared" si="31"/>
        <v>0</v>
      </c>
      <c r="L17" s="15">
        <f t="shared" si="31"/>
        <v>0</v>
      </c>
      <c r="M17" s="15">
        <f t="shared" si="31"/>
        <v>0</v>
      </c>
      <c r="O17" s="16" t="s">
        <v>24</v>
      </c>
      <c r="P17" s="15">
        <v>0</v>
      </c>
      <c r="Q17" s="15">
        <f t="shared" ref="Q17" si="32">P17*1.03</f>
        <v>0</v>
      </c>
      <c r="R17" s="15">
        <f t="shared" si="28"/>
        <v>0</v>
      </c>
      <c r="S17" s="15">
        <f t="shared" si="29"/>
        <v>0</v>
      </c>
      <c r="T17" s="15">
        <f t="shared" si="30"/>
        <v>0</v>
      </c>
    </row>
    <row r="18" spans="1:20" x14ac:dyDescent="0.25">
      <c r="A18" s="21" t="s">
        <v>25</v>
      </c>
      <c r="B18" s="15">
        <f>SUM(B19:B21)</f>
        <v>8500</v>
      </c>
      <c r="C18" s="15">
        <f t="shared" ref="C18:F18" si="33">SUM(C19:C21)</f>
        <v>8755</v>
      </c>
      <c r="D18" s="15">
        <f t="shared" si="33"/>
        <v>9017.6500000000015</v>
      </c>
      <c r="E18" s="15">
        <f t="shared" si="33"/>
        <v>9288.1795000000002</v>
      </c>
      <c r="F18" s="15">
        <f t="shared" si="33"/>
        <v>9566.824885</v>
      </c>
      <c r="H18" s="21" t="s">
        <v>25</v>
      </c>
      <c r="I18" s="15">
        <f t="shared" ref="I18:M18" si="34">SUM(I19:I21)</f>
        <v>8500</v>
      </c>
      <c r="J18" s="15">
        <f t="shared" si="34"/>
        <v>8755</v>
      </c>
      <c r="K18" s="15">
        <f t="shared" si="34"/>
        <v>9017.6500000000015</v>
      </c>
      <c r="L18" s="15">
        <f t="shared" si="34"/>
        <v>9288.1795000000002</v>
      </c>
      <c r="M18" s="15">
        <f t="shared" si="34"/>
        <v>9566.824885</v>
      </c>
      <c r="O18" s="21" t="s">
        <v>25</v>
      </c>
      <c r="P18" s="15">
        <f t="shared" ref="P18:T18" si="35">SUM(P19:P21)</f>
        <v>8500</v>
      </c>
      <c r="Q18" s="15">
        <f t="shared" si="35"/>
        <v>8755</v>
      </c>
      <c r="R18" s="15">
        <f t="shared" si="35"/>
        <v>9017.6500000000015</v>
      </c>
      <c r="S18" s="15">
        <f t="shared" si="35"/>
        <v>9288.1795000000002</v>
      </c>
      <c r="T18" s="15">
        <f t="shared" si="35"/>
        <v>9566.824885</v>
      </c>
    </row>
    <row r="19" spans="1:20" hidden="1" x14ac:dyDescent="0.25">
      <c r="A19" s="16" t="s">
        <v>26</v>
      </c>
      <c r="B19" s="15">
        <v>8000</v>
      </c>
      <c r="C19" s="13">
        <f t="shared" ref="C19:F21" si="36">B19*1.03</f>
        <v>8240</v>
      </c>
      <c r="D19" s="13">
        <f t="shared" si="36"/>
        <v>8487.2000000000007</v>
      </c>
      <c r="E19" s="13">
        <f t="shared" si="36"/>
        <v>8741.8160000000007</v>
      </c>
      <c r="F19" s="13">
        <f t="shared" si="36"/>
        <v>9004.0704800000003</v>
      </c>
      <c r="H19" s="16" t="s">
        <v>26</v>
      </c>
      <c r="I19" s="15">
        <v>8000</v>
      </c>
      <c r="J19" s="13">
        <f t="shared" ref="J19:M21" si="37">I19*1.03</f>
        <v>8240</v>
      </c>
      <c r="K19" s="13">
        <f t="shared" si="37"/>
        <v>8487.2000000000007</v>
      </c>
      <c r="L19" s="13">
        <f t="shared" si="37"/>
        <v>8741.8160000000007</v>
      </c>
      <c r="M19" s="13">
        <f t="shared" si="37"/>
        <v>9004.0704800000003</v>
      </c>
      <c r="O19" s="16" t="s">
        <v>26</v>
      </c>
      <c r="P19" s="15">
        <v>8000</v>
      </c>
      <c r="Q19" s="13">
        <f t="shared" ref="Q19:Q21" si="38">P19*1.03</f>
        <v>8240</v>
      </c>
      <c r="R19" s="13">
        <f t="shared" ref="R19:R21" si="39">Q19*1.03</f>
        <v>8487.2000000000007</v>
      </c>
      <c r="S19" s="13">
        <f t="shared" ref="S19:S21" si="40">R19*1.03</f>
        <v>8741.8160000000007</v>
      </c>
      <c r="T19" s="13">
        <f t="shared" ref="T19:T21" si="41">S19*1.03</f>
        <v>9004.0704800000003</v>
      </c>
    </row>
    <row r="20" spans="1:20" hidden="1" x14ac:dyDescent="0.25">
      <c r="A20" s="16" t="s">
        <v>27</v>
      </c>
      <c r="B20" s="15">
        <v>500</v>
      </c>
      <c r="C20" s="15">
        <f t="shared" si="36"/>
        <v>515</v>
      </c>
      <c r="D20" s="15">
        <f t="shared" si="36"/>
        <v>530.45000000000005</v>
      </c>
      <c r="E20" s="15">
        <f t="shared" si="36"/>
        <v>546.36350000000004</v>
      </c>
      <c r="F20" s="15">
        <f t="shared" si="36"/>
        <v>562.75440500000002</v>
      </c>
      <c r="H20" s="16" t="s">
        <v>27</v>
      </c>
      <c r="I20" s="15">
        <v>500</v>
      </c>
      <c r="J20" s="15">
        <f t="shared" si="37"/>
        <v>515</v>
      </c>
      <c r="K20" s="15">
        <f t="shared" si="37"/>
        <v>530.45000000000005</v>
      </c>
      <c r="L20" s="15">
        <f t="shared" si="37"/>
        <v>546.36350000000004</v>
      </c>
      <c r="M20" s="15">
        <f t="shared" si="37"/>
        <v>562.75440500000002</v>
      </c>
      <c r="O20" s="16" t="s">
        <v>27</v>
      </c>
      <c r="P20" s="15">
        <v>500</v>
      </c>
      <c r="Q20" s="15">
        <f t="shared" si="38"/>
        <v>515</v>
      </c>
      <c r="R20" s="15">
        <f t="shared" si="39"/>
        <v>530.45000000000005</v>
      </c>
      <c r="S20" s="15">
        <f t="shared" si="40"/>
        <v>546.36350000000004</v>
      </c>
      <c r="T20" s="15">
        <f t="shared" si="41"/>
        <v>562.75440500000002</v>
      </c>
    </row>
    <row r="21" spans="1:20" hidden="1" x14ac:dyDescent="0.25">
      <c r="A21" s="16" t="s">
        <v>28</v>
      </c>
      <c r="B21" s="15">
        <v>0</v>
      </c>
      <c r="C21" s="15">
        <f t="shared" si="36"/>
        <v>0</v>
      </c>
      <c r="D21" s="15">
        <f t="shared" si="36"/>
        <v>0</v>
      </c>
      <c r="E21" s="15">
        <f t="shared" si="36"/>
        <v>0</v>
      </c>
      <c r="F21" s="15">
        <f t="shared" si="36"/>
        <v>0</v>
      </c>
      <c r="H21" s="16" t="s">
        <v>28</v>
      </c>
      <c r="I21" s="15">
        <v>0</v>
      </c>
      <c r="J21" s="15">
        <f t="shared" si="37"/>
        <v>0</v>
      </c>
      <c r="K21" s="15">
        <f t="shared" si="37"/>
        <v>0</v>
      </c>
      <c r="L21" s="15">
        <f t="shared" si="37"/>
        <v>0</v>
      </c>
      <c r="M21" s="15">
        <f t="shared" si="37"/>
        <v>0</v>
      </c>
      <c r="O21" s="16" t="s">
        <v>28</v>
      </c>
      <c r="P21" s="15">
        <v>0</v>
      </c>
      <c r="Q21" s="15">
        <f t="shared" si="38"/>
        <v>0</v>
      </c>
      <c r="R21" s="15">
        <f t="shared" si="39"/>
        <v>0</v>
      </c>
      <c r="S21" s="15">
        <f t="shared" si="40"/>
        <v>0</v>
      </c>
      <c r="T21" s="15">
        <f t="shared" si="41"/>
        <v>0</v>
      </c>
    </row>
    <row r="22" spans="1:20" x14ac:dyDescent="0.25">
      <c r="A22" s="21" t="s">
        <v>29</v>
      </c>
      <c r="B22" s="15">
        <f>SUM(B23:B25)</f>
        <v>3900</v>
      </c>
      <c r="C22" s="15">
        <f t="shared" ref="C22:F22" si="42">SUM(C23:C25)</f>
        <v>4017</v>
      </c>
      <c r="D22" s="15">
        <f t="shared" si="42"/>
        <v>4137.51</v>
      </c>
      <c r="E22" s="15">
        <f t="shared" si="42"/>
        <v>4261.6352999999999</v>
      </c>
      <c r="F22" s="15">
        <f t="shared" si="42"/>
        <v>4389.484359</v>
      </c>
      <c r="H22" s="21" t="s">
        <v>29</v>
      </c>
      <c r="I22" s="15">
        <f t="shared" ref="I22:M22" si="43">SUM(I23:I25)</f>
        <v>3900</v>
      </c>
      <c r="J22" s="15">
        <f t="shared" si="43"/>
        <v>4017</v>
      </c>
      <c r="K22" s="15">
        <f t="shared" si="43"/>
        <v>4137.51</v>
      </c>
      <c r="L22" s="15">
        <f t="shared" si="43"/>
        <v>4261.6352999999999</v>
      </c>
      <c r="M22" s="15">
        <f t="shared" si="43"/>
        <v>4389.484359</v>
      </c>
      <c r="O22" s="21" t="s">
        <v>29</v>
      </c>
      <c r="P22" s="15">
        <f t="shared" ref="P22:T22" si="44">SUM(P23:P25)</f>
        <v>3900</v>
      </c>
      <c r="Q22" s="15">
        <f t="shared" si="44"/>
        <v>4017</v>
      </c>
      <c r="R22" s="15">
        <f t="shared" si="44"/>
        <v>4137.51</v>
      </c>
      <c r="S22" s="15">
        <f t="shared" si="44"/>
        <v>4261.6352999999999</v>
      </c>
      <c r="T22" s="15">
        <f t="shared" si="44"/>
        <v>4389.484359</v>
      </c>
    </row>
    <row r="23" spans="1:20" hidden="1" x14ac:dyDescent="0.25">
      <c r="A23" s="16" t="s">
        <v>30</v>
      </c>
      <c r="B23" s="15">
        <v>2400</v>
      </c>
      <c r="C23" s="15">
        <f t="shared" ref="C23:F25" si="45">B23*1.03</f>
        <v>2472</v>
      </c>
      <c r="D23" s="15">
        <f t="shared" si="45"/>
        <v>2546.16</v>
      </c>
      <c r="E23" s="15">
        <f t="shared" si="45"/>
        <v>2622.5448000000001</v>
      </c>
      <c r="F23" s="15">
        <f t="shared" si="45"/>
        <v>2701.2211440000001</v>
      </c>
      <c r="H23" s="16" t="s">
        <v>30</v>
      </c>
      <c r="I23" s="15">
        <v>2400</v>
      </c>
      <c r="J23" s="15">
        <f t="shared" ref="J23:M25" si="46">I23*1.03</f>
        <v>2472</v>
      </c>
      <c r="K23" s="15">
        <f t="shared" si="46"/>
        <v>2546.16</v>
      </c>
      <c r="L23" s="15">
        <f t="shared" si="46"/>
        <v>2622.5448000000001</v>
      </c>
      <c r="M23" s="15">
        <f t="shared" si="46"/>
        <v>2701.2211440000001</v>
      </c>
      <c r="O23" s="16" t="s">
        <v>30</v>
      </c>
      <c r="P23" s="15">
        <v>2400</v>
      </c>
      <c r="Q23" s="15">
        <f t="shared" ref="Q23:Q25" si="47">P23*1.03</f>
        <v>2472</v>
      </c>
      <c r="R23" s="15">
        <f t="shared" ref="R23:R25" si="48">Q23*1.03</f>
        <v>2546.16</v>
      </c>
      <c r="S23" s="15">
        <f t="shared" ref="S23:S25" si="49">R23*1.03</f>
        <v>2622.5448000000001</v>
      </c>
      <c r="T23" s="15">
        <f t="shared" ref="T23:T25" si="50">S23*1.03</f>
        <v>2701.2211440000001</v>
      </c>
    </row>
    <row r="24" spans="1:20" hidden="1" x14ac:dyDescent="0.25">
      <c r="A24" s="16" t="s">
        <v>31</v>
      </c>
      <c r="B24" s="15">
        <v>500</v>
      </c>
      <c r="C24" s="15">
        <f t="shared" si="45"/>
        <v>515</v>
      </c>
      <c r="D24" s="15">
        <f t="shared" si="45"/>
        <v>530.45000000000005</v>
      </c>
      <c r="E24" s="15">
        <f t="shared" si="45"/>
        <v>546.36350000000004</v>
      </c>
      <c r="F24" s="15">
        <f t="shared" si="45"/>
        <v>562.75440500000002</v>
      </c>
      <c r="H24" s="16" t="s">
        <v>31</v>
      </c>
      <c r="I24" s="15">
        <v>500</v>
      </c>
      <c r="J24" s="15">
        <f t="shared" si="46"/>
        <v>515</v>
      </c>
      <c r="K24" s="15">
        <f t="shared" si="46"/>
        <v>530.45000000000005</v>
      </c>
      <c r="L24" s="15">
        <f t="shared" si="46"/>
        <v>546.36350000000004</v>
      </c>
      <c r="M24" s="15">
        <f t="shared" si="46"/>
        <v>562.75440500000002</v>
      </c>
      <c r="O24" s="16" t="s">
        <v>31</v>
      </c>
      <c r="P24" s="15">
        <v>500</v>
      </c>
      <c r="Q24" s="15">
        <f t="shared" si="47"/>
        <v>515</v>
      </c>
      <c r="R24" s="15">
        <f t="shared" si="48"/>
        <v>530.45000000000005</v>
      </c>
      <c r="S24" s="15">
        <f t="shared" si="49"/>
        <v>546.36350000000004</v>
      </c>
      <c r="T24" s="15">
        <f t="shared" si="50"/>
        <v>562.75440500000002</v>
      </c>
    </row>
    <row r="25" spans="1:20" hidden="1" x14ac:dyDescent="0.25">
      <c r="A25" s="16" t="s">
        <v>32</v>
      </c>
      <c r="B25" s="15">
        <v>1000</v>
      </c>
      <c r="C25" s="15">
        <f t="shared" si="45"/>
        <v>1030</v>
      </c>
      <c r="D25" s="15">
        <f t="shared" si="45"/>
        <v>1060.9000000000001</v>
      </c>
      <c r="E25" s="15">
        <f t="shared" si="45"/>
        <v>1092.7270000000001</v>
      </c>
      <c r="F25" s="15">
        <f t="shared" si="45"/>
        <v>1125.50881</v>
      </c>
      <c r="H25" s="16" t="s">
        <v>32</v>
      </c>
      <c r="I25" s="15">
        <v>1000</v>
      </c>
      <c r="J25" s="15">
        <f t="shared" si="46"/>
        <v>1030</v>
      </c>
      <c r="K25" s="15">
        <f t="shared" si="46"/>
        <v>1060.9000000000001</v>
      </c>
      <c r="L25" s="15">
        <f t="shared" si="46"/>
        <v>1092.7270000000001</v>
      </c>
      <c r="M25" s="15">
        <f t="shared" si="46"/>
        <v>1125.50881</v>
      </c>
      <c r="O25" s="16" t="s">
        <v>32</v>
      </c>
      <c r="P25" s="15">
        <v>1000</v>
      </c>
      <c r="Q25" s="15">
        <f t="shared" si="47"/>
        <v>1030</v>
      </c>
      <c r="R25" s="15">
        <f t="shared" si="48"/>
        <v>1060.9000000000001</v>
      </c>
      <c r="S25" s="15">
        <f t="shared" si="49"/>
        <v>1092.7270000000001</v>
      </c>
      <c r="T25" s="15">
        <f t="shared" si="50"/>
        <v>1125.50881</v>
      </c>
    </row>
    <row r="26" spans="1:20" ht="14.25" customHeight="1" x14ac:dyDescent="0.25">
      <c r="A26" s="21" t="s">
        <v>33</v>
      </c>
      <c r="B26" s="15">
        <f>SUM(B27:B28)</f>
        <v>3892.48</v>
      </c>
      <c r="C26" s="15">
        <f t="shared" ref="C26:F26" si="51">SUM(C27:C28)</f>
        <v>4009.2544000000003</v>
      </c>
      <c r="D26" s="15">
        <f t="shared" si="51"/>
        <v>4129.532032000001</v>
      </c>
      <c r="E26" s="15">
        <f t="shared" si="51"/>
        <v>4253.4179929600004</v>
      </c>
      <c r="F26" s="15">
        <f t="shared" si="51"/>
        <v>4381.0205327488002</v>
      </c>
      <c r="H26" s="21" t="s">
        <v>33</v>
      </c>
      <c r="I26" s="15">
        <f t="shared" ref="I26:M26" si="52">SUM(I27:I28)</f>
        <v>3504.6400000000003</v>
      </c>
      <c r="J26" s="15">
        <f t="shared" si="52"/>
        <v>3609.7791999999999</v>
      </c>
      <c r="K26" s="15">
        <f t="shared" si="52"/>
        <v>3718.0725760000005</v>
      </c>
      <c r="L26" s="15">
        <f t="shared" si="52"/>
        <v>3829.6147532800005</v>
      </c>
      <c r="M26" s="15">
        <f t="shared" si="52"/>
        <v>3944.5031958784002</v>
      </c>
      <c r="O26" s="21" t="s">
        <v>33</v>
      </c>
      <c r="P26" s="15">
        <f t="shared" ref="P26:T26" si="53">SUM(P27:P28)</f>
        <v>3698.56</v>
      </c>
      <c r="Q26" s="15">
        <f t="shared" si="53"/>
        <v>3809.5167999999999</v>
      </c>
      <c r="R26" s="15">
        <f t="shared" si="53"/>
        <v>3923.8023039999998</v>
      </c>
      <c r="S26" s="15">
        <f t="shared" si="53"/>
        <v>4041.51637312</v>
      </c>
      <c r="T26" s="15">
        <f t="shared" si="53"/>
        <v>4162.7618643135993</v>
      </c>
    </row>
    <row r="27" spans="1:20" hidden="1" x14ac:dyDescent="0.25">
      <c r="A27" s="16" t="s">
        <v>34</v>
      </c>
      <c r="B27" s="15">
        <f>+B5*0.02</f>
        <v>2292.48</v>
      </c>
      <c r="C27" s="15">
        <f t="shared" ref="C27:F28" si="54">B27*1.03</f>
        <v>2361.2544000000003</v>
      </c>
      <c r="D27" s="15">
        <f t="shared" si="54"/>
        <v>2432.0920320000005</v>
      </c>
      <c r="E27" s="15">
        <f t="shared" si="54"/>
        <v>2505.0547929600007</v>
      </c>
      <c r="F27" s="15">
        <f t="shared" si="54"/>
        <v>2580.2064367488006</v>
      </c>
      <c r="H27" s="16" t="s">
        <v>34</v>
      </c>
      <c r="I27" s="15">
        <f>+I5*0.02</f>
        <v>1904.64</v>
      </c>
      <c r="J27" s="15">
        <f t="shared" ref="J27:M28" si="55">I27*1.03</f>
        <v>1961.7792000000002</v>
      </c>
      <c r="K27" s="15">
        <f t="shared" si="55"/>
        <v>2020.6325760000002</v>
      </c>
      <c r="L27" s="15">
        <f t="shared" si="55"/>
        <v>2081.2515532800003</v>
      </c>
      <c r="M27" s="15">
        <f t="shared" si="55"/>
        <v>2143.6890998784002</v>
      </c>
      <c r="O27" s="16" t="s">
        <v>34</v>
      </c>
      <c r="P27" s="15">
        <f>+P5*0.02</f>
        <v>2098.56</v>
      </c>
      <c r="Q27" s="15">
        <f t="shared" ref="Q27:Q28" si="56">P27*1.03</f>
        <v>2161.5167999999999</v>
      </c>
      <c r="R27" s="15">
        <f t="shared" ref="R27:R28" si="57">Q27*1.03</f>
        <v>2226.3623039999998</v>
      </c>
      <c r="S27" s="15">
        <f t="shared" ref="S27:S28" si="58">R27*1.03</f>
        <v>2293.1531731199998</v>
      </c>
      <c r="T27" s="15">
        <f t="shared" ref="T27:T28" si="59">S27*1.03</f>
        <v>2361.9477683135997</v>
      </c>
    </row>
    <row r="28" spans="1:20" hidden="1" x14ac:dyDescent="0.25">
      <c r="A28" s="16" t="s">
        <v>35</v>
      </c>
      <c r="B28" s="15">
        <f>1600</f>
        <v>1600</v>
      </c>
      <c r="C28" s="15">
        <f t="shared" si="54"/>
        <v>1648</v>
      </c>
      <c r="D28" s="15">
        <f t="shared" si="54"/>
        <v>1697.44</v>
      </c>
      <c r="E28" s="15">
        <f t="shared" si="54"/>
        <v>1748.3632</v>
      </c>
      <c r="F28" s="15">
        <f t="shared" si="54"/>
        <v>1800.8140960000001</v>
      </c>
      <c r="H28" s="16" t="s">
        <v>35</v>
      </c>
      <c r="I28" s="15">
        <f>1600</f>
        <v>1600</v>
      </c>
      <c r="J28" s="15">
        <f t="shared" si="55"/>
        <v>1648</v>
      </c>
      <c r="K28" s="15">
        <f t="shared" si="55"/>
        <v>1697.44</v>
      </c>
      <c r="L28" s="15">
        <f t="shared" si="55"/>
        <v>1748.3632</v>
      </c>
      <c r="M28" s="15">
        <f t="shared" si="55"/>
        <v>1800.8140960000001</v>
      </c>
      <c r="O28" s="16" t="s">
        <v>35</v>
      </c>
      <c r="P28" s="15">
        <f>1600</f>
        <v>1600</v>
      </c>
      <c r="Q28" s="15">
        <f t="shared" si="56"/>
        <v>1648</v>
      </c>
      <c r="R28" s="15">
        <f t="shared" si="57"/>
        <v>1697.44</v>
      </c>
      <c r="S28" s="15">
        <f t="shared" si="58"/>
        <v>1748.3632</v>
      </c>
      <c r="T28" s="15">
        <f t="shared" si="59"/>
        <v>1800.8140960000001</v>
      </c>
    </row>
    <row r="29" spans="1:20" x14ac:dyDescent="0.25">
      <c r="A29" s="7" t="s">
        <v>36</v>
      </c>
      <c r="B29" s="22">
        <f>B10+B18+B22+B26</f>
        <v>36392.480000000003</v>
      </c>
      <c r="C29" s="22">
        <f t="shared" ref="C29:F29" si="60">C10+C18+C22+C26</f>
        <v>37484.254399999998</v>
      </c>
      <c r="D29" s="22">
        <f t="shared" si="60"/>
        <v>38608.782032000003</v>
      </c>
      <c r="E29" s="22">
        <f t="shared" si="60"/>
        <v>39767.045492960002</v>
      </c>
      <c r="F29" s="22">
        <f t="shared" si="60"/>
        <v>40960.056857748808</v>
      </c>
      <c r="H29" s="7" t="s">
        <v>36</v>
      </c>
      <c r="I29" s="22">
        <f t="shared" ref="I29:M29" si="61">I10+I18+I22+I26</f>
        <v>36004.639999999999</v>
      </c>
      <c r="J29" s="22">
        <f t="shared" si="61"/>
        <v>37084.779199999997</v>
      </c>
      <c r="K29" s="22">
        <f t="shared" si="61"/>
        <v>38197.322575999999</v>
      </c>
      <c r="L29" s="22">
        <f t="shared" si="61"/>
        <v>39343.242253280005</v>
      </c>
      <c r="M29" s="22">
        <f t="shared" si="61"/>
        <v>40523.53952087841</v>
      </c>
      <c r="O29" s="7" t="s">
        <v>36</v>
      </c>
      <c r="P29" s="22">
        <f t="shared" ref="P29:T29" si="62">P10+P18+P22+P26</f>
        <v>36198.559999999998</v>
      </c>
      <c r="Q29" s="22">
        <f t="shared" si="62"/>
        <v>37284.516799999998</v>
      </c>
      <c r="R29" s="22">
        <f t="shared" si="62"/>
        <v>38403.052303999997</v>
      </c>
      <c r="S29" s="22">
        <f t="shared" si="62"/>
        <v>39555.143873120003</v>
      </c>
      <c r="T29" s="22">
        <f t="shared" si="62"/>
        <v>40741.798189313609</v>
      </c>
    </row>
    <row r="30" spans="1:20" x14ac:dyDescent="0.25">
      <c r="A30" s="6"/>
      <c r="B30" s="23"/>
      <c r="C30" s="24"/>
      <c r="D30" s="23"/>
      <c r="E30" s="23"/>
      <c r="F30" s="23"/>
      <c r="H30" s="6"/>
      <c r="I30" s="23"/>
      <c r="J30" s="24"/>
      <c r="K30" s="23"/>
      <c r="L30" s="23"/>
      <c r="M30" s="23"/>
      <c r="O30" s="6"/>
      <c r="P30" s="23"/>
      <c r="Q30" s="24"/>
      <c r="R30" s="23"/>
      <c r="S30" s="23"/>
      <c r="T30" s="23"/>
    </row>
    <row r="31" spans="1:20" x14ac:dyDescent="0.25">
      <c r="A31" s="7" t="s">
        <v>37</v>
      </c>
      <c r="B31" s="17">
        <f>+B8-B29</f>
        <v>78128.358399999997</v>
      </c>
      <c r="C31" s="17">
        <f>+C8-C29</f>
        <v>79360.356352000003</v>
      </c>
      <c r="D31" s="17">
        <f>+D8-D29</f>
        <v>80607.077186559982</v>
      </c>
      <c r="E31" s="17">
        <f>+E8-E29</f>
        <v>81868.517849036783</v>
      </c>
      <c r="F31" s="17">
        <f>+F8-F29</f>
        <v>83144.666298325494</v>
      </c>
      <c r="H31" s="7" t="s">
        <v>37</v>
      </c>
      <c r="I31" s="17">
        <f t="shared" ref="I31:M31" si="63">+I8-I29</f>
        <v>59141.651200000008</v>
      </c>
      <c r="J31" s="17">
        <f t="shared" si="63"/>
        <v>59992.150335999999</v>
      </c>
      <c r="K31" s="17">
        <f t="shared" si="63"/>
        <v>60849.68943808</v>
      </c>
      <c r="L31" s="17">
        <f t="shared" si="63"/>
        <v>61714.110205062396</v>
      </c>
      <c r="M31" s="17">
        <f t="shared" si="63"/>
        <v>62585.242196731073</v>
      </c>
      <c r="O31" s="7" t="s">
        <v>37</v>
      </c>
      <c r="P31" s="17">
        <f t="shared" ref="P31:T31" si="64">+P8-P29</f>
        <v>68635.004799999995</v>
      </c>
      <c r="Q31" s="17">
        <f t="shared" si="64"/>
        <v>69676.253343999997</v>
      </c>
      <c r="R31" s="17">
        <f t="shared" si="64"/>
        <v>70728.383312320002</v>
      </c>
      <c r="S31" s="17">
        <f t="shared" si="64"/>
        <v>71791.314027049593</v>
      </c>
      <c r="T31" s="17">
        <f t="shared" si="64"/>
        <v>72864.95424752828</v>
      </c>
    </row>
    <row r="32" spans="1:20" x14ac:dyDescent="0.25">
      <c r="A32" s="6"/>
      <c r="B32" s="25"/>
      <c r="C32" s="26"/>
      <c r="D32" s="25"/>
      <c r="E32" s="25"/>
      <c r="F32" s="25"/>
      <c r="H32" s="6"/>
      <c r="I32" s="25"/>
      <c r="J32" s="26"/>
      <c r="K32" s="25"/>
      <c r="L32" s="25"/>
      <c r="M32" s="25"/>
      <c r="O32" s="6"/>
      <c r="P32" s="25"/>
      <c r="Q32" s="26"/>
      <c r="R32" s="25"/>
      <c r="S32" s="25"/>
      <c r="T32" s="25"/>
    </row>
    <row r="33" spans="1:20" x14ac:dyDescent="0.25">
      <c r="A33" s="7" t="s">
        <v>38</v>
      </c>
      <c r="B33" s="6"/>
      <c r="C33" s="5"/>
      <c r="D33" s="6"/>
      <c r="E33" s="6"/>
      <c r="F33" s="6"/>
      <c r="H33" s="7" t="s">
        <v>38</v>
      </c>
      <c r="I33" s="6"/>
      <c r="J33" s="5"/>
      <c r="K33" s="6"/>
      <c r="L33" s="6"/>
      <c r="M33" s="6"/>
      <c r="O33" s="7" t="s">
        <v>38</v>
      </c>
      <c r="P33" s="6"/>
      <c r="Q33" s="5"/>
      <c r="R33" s="6"/>
      <c r="S33" s="6"/>
      <c r="T33" s="6"/>
    </row>
    <row r="34" spans="1:20" x14ac:dyDescent="0.25">
      <c r="A34" s="27" t="s">
        <v>62</v>
      </c>
      <c r="B34" s="15">
        <v>64742.017273412217</v>
      </c>
      <c r="C34" s="15">
        <v>64742.017273412217</v>
      </c>
      <c r="D34" s="15">
        <v>64742.017273412217</v>
      </c>
      <c r="E34" s="15">
        <v>64742.017273412217</v>
      </c>
      <c r="F34" s="15">
        <v>64742.017273412217</v>
      </c>
      <c r="H34" s="27" t="s">
        <v>62</v>
      </c>
      <c r="I34" s="15">
        <f>'Cost and Debt WS'!B14</f>
        <v>64742.017273412217</v>
      </c>
      <c r="J34" s="15">
        <v>64742.017273412217</v>
      </c>
      <c r="K34" s="15">
        <v>64742.017273412217</v>
      </c>
      <c r="L34" s="15">
        <v>64742.017273412217</v>
      </c>
      <c r="M34" s="15">
        <v>64742.017273412217</v>
      </c>
      <c r="O34" s="27" t="s">
        <v>62</v>
      </c>
      <c r="P34" s="15">
        <v>64742.017273412217</v>
      </c>
      <c r="Q34" s="15">
        <v>64742.017273412217</v>
      </c>
      <c r="R34" s="15">
        <v>64742.017273412217</v>
      </c>
      <c r="S34" s="15">
        <v>64742.017273412217</v>
      </c>
      <c r="T34" s="15">
        <v>64742.017273412217</v>
      </c>
    </row>
    <row r="35" spans="1:20" x14ac:dyDescent="0.25">
      <c r="A35" s="27"/>
      <c r="B35" s="15" t="s">
        <v>12</v>
      </c>
      <c r="C35" s="15"/>
      <c r="D35" s="15"/>
      <c r="E35" s="15"/>
      <c r="F35" s="15"/>
      <c r="H35" s="27"/>
      <c r="I35" s="15">
        <v>0</v>
      </c>
      <c r="J35" s="15"/>
      <c r="K35" s="15"/>
      <c r="L35" s="15"/>
      <c r="M35" s="15"/>
      <c r="O35" s="27"/>
      <c r="P35" s="15">
        <v>0</v>
      </c>
      <c r="Q35" s="15"/>
      <c r="R35" s="15"/>
      <c r="S35" s="15"/>
      <c r="T35" s="15"/>
    </row>
    <row r="36" spans="1:20" x14ac:dyDescent="0.25">
      <c r="A36" s="7" t="s">
        <v>39</v>
      </c>
      <c r="B36" s="17">
        <f>SUM(B31-B34)</f>
        <v>13386.34112658778</v>
      </c>
      <c r="C36" s="17">
        <f>SUM(C31-C34)</f>
        <v>14618.339078587785</v>
      </c>
      <c r="D36" s="17">
        <f>SUM(D31-D34)</f>
        <v>15865.059913147765</v>
      </c>
      <c r="E36" s="17">
        <f>SUM(E31-E34)</f>
        <v>17126.500575624566</v>
      </c>
      <c r="F36" s="61">
        <f>SUM(F31-F34)</f>
        <v>18402.649024913277</v>
      </c>
      <c r="H36" s="7" t="s">
        <v>39</v>
      </c>
      <c r="I36" s="17">
        <f>SUM(I31-I34)</f>
        <v>-5600.3660734122095</v>
      </c>
      <c r="J36" s="17">
        <f>SUM(J31-J34)</f>
        <v>-4749.8669374122182</v>
      </c>
      <c r="K36" s="17">
        <f>SUM(K31-K34)</f>
        <v>-3892.3278353322166</v>
      </c>
      <c r="L36" s="17">
        <f>SUM(L31-L34)</f>
        <v>-3027.9070683498212</v>
      </c>
      <c r="M36" s="17">
        <f>SUM(M31-M34)</f>
        <v>-2156.7750766811441</v>
      </c>
      <c r="O36" s="7" t="s">
        <v>39</v>
      </c>
      <c r="P36" s="17">
        <f>SUM(P31-P34)</f>
        <v>3892.9875265877781</v>
      </c>
      <c r="Q36" s="17">
        <f>SUM(Q31-Q34)</f>
        <v>4934.23607058778</v>
      </c>
      <c r="R36" s="17">
        <f>SUM(R31-R34)</f>
        <v>5986.366038907785</v>
      </c>
      <c r="S36" s="17">
        <f>SUM(S31-S34)</f>
        <v>7049.2967536373762</v>
      </c>
      <c r="T36" s="56">
        <f>SUM(T31-T34)</f>
        <v>8122.9369741160626</v>
      </c>
    </row>
    <row r="37" spans="1:20" x14ac:dyDescent="0.25">
      <c r="A37" t="s">
        <v>97</v>
      </c>
      <c r="B37" s="58">
        <f>B36/'Cost and Debt WS'!B10</f>
        <v>4.6480351133985347E-2</v>
      </c>
      <c r="C37" s="58">
        <f>C36/'Cost and Debt WS'!B10</f>
        <v>5.0758121800652034E-2</v>
      </c>
      <c r="D37" s="58">
        <f>D36/'Cost and Debt WS'!B10</f>
        <v>5.5087013587318628E-2</v>
      </c>
      <c r="E37" s="58">
        <f>E36/'Cost and Debt WS'!B10</f>
        <v>5.9467015887585302E-2</v>
      </c>
      <c r="F37" s="58">
        <f>F36/'Cost and Debt WS'!B10</f>
        <v>6.3898086892059988E-2</v>
      </c>
      <c r="H37" s="7"/>
      <c r="I37" s="25"/>
      <c r="J37" s="25"/>
      <c r="K37" s="25"/>
      <c r="L37" s="25"/>
      <c r="M37" s="25"/>
      <c r="O37" s="7"/>
      <c r="P37" s="25"/>
      <c r="Q37" s="25"/>
      <c r="R37" s="25"/>
      <c r="S37" s="25"/>
      <c r="T37" s="25"/>
    </row>
    <row r="38" spans="1:20" x14ac:dyDescent="0.25">
      <c r="H38" s="7" t="s">
        <v>84</v>
      </c>
      <c r="I38" s="25"/>
      <c r="J38" s="25"/>
      <c r="K38" s="25"/>
      <c r="L38" s="25"/>
      <c r="M38" s="25"/>
      <c r="O38" s="7" t="s">
        <v>40</v>
      </c>
      <c r="P38" s="25" t="s">
        <v>12</v>
      </c>
      <c r="Q38" s="25"/>
      <c r="R38" s="25"/>
      <c r="S38" s="25"/>
      <c r="T38" s="25"/>
    </row>
    <row r="39" spans="1:20" x14ac:dyDescent="0.25">
      <c r="H39" s="7" t="s">
        <v>12</v>
      </c>
      <c r="I39" s="51"/>
      <c r="J39" s="51"/>
      <c r="K39" s="51"/>
      <c r="L39" s="51"/>
      <c r="M39" s="51"/>
      <c r="O39" s="7" t="s">
        <v>12</v>
      </c>
      <c r="P39" s="51"/>
      <c r="Q39" s="51"/>
      <c r="R39" s="51"/>
      <c r="S39" s="51"/>
      <c r="T39" s="51"/>
    </row>
    <row r="40" spans="1:20" x14ac:dyDescent="0.25">
      <c r="H40" s="27" t="s">
        <v>85</v>
      </c>
      <c r="I40" s="15">
        <f>'Cost and Debt WS'!B18</f>
        <v>62166.065206443724</v>
      </c>
      <c r="J40" s="15">
        <v>62166.065206443724</v>
      </c>
      <c r="K40" s="15">
        <v>62166.065206443724</v>
      </c>
      <c r="L40" s="15">
        <v>62166.065206443724</v>
      </c>
      <c r="M40" s="15">
        <v>62166.065206443724</v>
      </c>
      <c r="O40" s="27" t="s">
        <v>92</v>
      </c>
      <c r="P40" s="57">
        <f>'Cost and Debt WS'!D18</f>
        <v>63454.041239927974</v>
      </c>
      <c r="Q40" s="57">
        <v>63454.041239927974</v>
      </c>
      <c r="R40" s="57">
        <v>63454.041239927974</v>
      </c>
      <c r="S40" s="57">
        <v>63454.041239927974</v>
      </c>
      <c r="T40" s="57">
        <v>63454.041239927974</v>
      </c>
    </row>
    <row r="41" spans="1:20" x14ac:dyDescent="0.25">
      <c r="H41" s="27" t="s">
        <v>86</v>
      </c>
      <c r="I41" s="15">
        <f>'Cost and Debt WS'!B22</f>
        <v>57327.251255933115</v>
      </c>
      <c r="J41" s="15">
        <v>57327.251255933115</v>
      </c>
      <c r="K41" s="15">
        <v>57327.251255933115</v>
      </c>
      <c r="L41" s="15">
        <v>57327.251255933115</v>
      </c>
      <c r="M41" s="15">
        <v>57327.251255933115</v>
      </c>
      <c r="O41" s="27" t="s">
        <v>93</v>
      </c>
      <c r="P41" s="13">
        <f>'Cost and Debt WS'!D22</f>
        <v>61034.63426467267</v>
      </c>
      <c r="Q41" s="13">
        <v>61034.63426467267</v>
      </c>
      <c r="R41" s="13">
        <v>61034.63426467267</v>
      </c>
      <c r="S41" s="13">
        <v>61034.63426467267</v>
      </c>
      <c r="T41" s="13">
        <v>61034.63426467267</v>
      </c>
    </row>
    <row r="42" spans="1:20" x14ac:dyDescent="0.25">
      <c r="H42" s="27" t="s">
        <v>87</v>
      </c>
      <c r="I42" s="15">
        <f>'Cost and Debt WS'!B26</f>
        <v>52527.251255933115</v>
      </c>
      <c r="J42" s="15">
        <v>52527.251255933115</v>
      </c>
      <c r="K42" s="15">
        <v>52527.251255933115</v>
      </c>
      <c r="L42" s="15">
        <v>52527.251255933115</v>
      </c>
      <c r="M42" s="15">
        <v>52527.251255933115</v>
      </c>
      <c r="O42" s="27" t="s">
        <v>94</v>
      </c>
      <c r="P42" s="15">
        <f>'Cost and Debt WS'!B30</f>
        <v>58634.63426467267</v>
      </c>
      <c r="Q42" s="15">
        <v>58634.63426467267</v>
      </c>
      <c r="R42" s="15">
        <v>58634.63426467267</v>
      </c>
      <c r="S42" s="15">
        <v>58634.63426467267</v>
      </c>
      <c r="T42" s="15">
        <v>58634.63426467267</v>
      </c>
    </row>
    <row r="43" spans="1:20" x14ac:dyDescent="0.25">
      <c r="H43" s="53" t="s">
        <v>88</v>
      </c>
      <c r="I43" s="25">
        <f>I31-I40</f>
        <v>-3024.4140064437161</v>
      </c>
      <c r="J43" s="25">
        <f>J31-J40</f>
        <v>-2173.9148704437248</v>
      </c>
      <c r="K43" s="25">
        <f>K31-K40</f>
        <v>-1316.3757683637232</v>
      </c>
      <c r="L43" s="25">
        <f>L31-L40</f>
        <v>-451.95500138132775</v>
      </c>
      <c r="M43" s="25">
        <f>M31-M40</f>
        <v>419.17699028734933</v>
      </c>
      <c r="O43" s="53" t="s">
        <v>91</v>
      </c>
      <c r="P43" s="25">
        <f>P31-P40</f>
        <v>5180.9635600720212</v>
      </c>
      <c r="Q43" s="25">
        <f>Q31-Q40</f>
        <v>6222.2121040720231</v>
      </c>
      <c r="R43" s="25">
        <f>R31-R40</f>
        <v>7274.3420723920281</v>
      </c>
      <c r="S43" s="25">
        <f>S31-S40</f>
        <v>8337.2727871216193</v>
      </c>
      <c r="T43" s="25">
        <f>T31-T40</f>
        <v>9410.9130076003057</v>
      </c>
    </row>
    <row r="44" spans="1:20" x14ac:dyDescent="0.25">
      <c r="H44" s="53" t="s">
        <v>89</v>
      </c>
      <c r="I44" s="25">
        <v>0</v>
      </c>
      <c r="J44" s="25">
        <f>J31-J41</f>
        <v>2664.8990800668835</v>
      </c>
      <c r="K44" s="25">
        <f>K31-K41</f>
        <v>3522.4381821468851</v>
      </c>
      <c r="L44" s="25">
        <f>L31-L41</f>
        <v>4386.8589491292805</v>
      </c>
      <c r="M44" s="25">
        <f>M31-M41</f>
        <v>5257.9909407979576</v>
      </c>
      <c r="O44" s="53" t="s">
        <v>95</v>
      </c>
      <c r="P44" s="25">
        <f>P31-P41</f>
        <v>7600.3705353273253</v>
      </c>
      <c r="Q44" s="25">
        <f>Q31-Q41</f>
        <v>8641.6190793273272</v>
      </c>
      <c r="R44" s="25">
        <f>R31-R41</f>
        <v>9693.7490476473322</v>
      </c>
      <c r="S44" s="25">
        <f>S31-S41</f>
        <v>10756.679762376923</v>
      </c>
      <c r="T44" s="25">
        <f>T31-T41</f>
        <v>11830.31998285561</v>
      </c>
    </row>
    <row r="45" spans="1:20" x14ac:dyDescent="0.25">
      <c r="H45" s="53" t="s">
        <v>90</v>
      </c>
      <c r="I45" s="25">
        <f>I31-I42</f>
        <v>6614.3999440668922</v>
      </c>
      <c r="J45" s="25">
        <f>J31-J42</f>
        <v>7464.8990800668835</v>
      </c>
      <c r="K45" s="25">
        <f>K31-K42</f>
        <v>8322.4381821468851</v>
      </c>
      <c r="L45" s="25">
        <f>L31-L42</f>
        <v>9186.8589491292805</v>
      </c>
      <c r="M45" s="56">
        <f>M31-M42</f>
        <v>10057.990940797958</v>
      </c>
      <c r="O45" s="53" t="s">
        <v>96</v>
      </c>
      <c r="P45" s="25">
        <f>P31-P42</f>
        <v>10000.370535327325</v>
      </c>
      <c r="Q45" s="25">
        <f>Q31-Q42</f>
        <v>11041.619079327327</v>
      </c>
      <c r="R45" s="25">
        <f>R31-R42</f>
        <v>12093.749047647332</v>
      </c>
      <c r="S45" s="25">
        <f>S31-S42</f>
        <v>13156.679762376923</v>
      </c>
      <c r="T45" s="56">
        <f>T31-T42</f>
        <v>14230.31998285561</v>
      </c>
    </row>
    <row r="47" spans="1:20" x14ac:dyDescent="0.25">
      <c r="H47" s="54" t="s">
        <v>64</v>
      </c>
      <c r="I47">
        <v>3500</v>
      </c>
      <c r="J47">
        <v>3500</v>
      </c>
      <c r="K47">
        <v>3500</v>
      </c>
      <c r="L47">
        <v>3500</v>
      </c>
      <c r="M47">
        <v>3500</v>
      </c>
      <c r="O47" s="54" t="s">
        <v>64</v>
      </c>
      <c r="P47">
        <v>3500</v>
      </c>
      <c r="Q47">
        <v>3500</v>
      </c>
      <c r="R47">
        <v>3500</v>
      </c>
      <c r="S47">
        <v>3500</v>
      </c>
      <c r="T47">
        <v>3500</v>
      </c>
    </row>
    <row r="48" spans="1:20" x14ac:dyDescent="0.25">
      <c r="H48" s="53" t="s">
        <v>78</v>
      </c>
      <c r="I48" s="25">
        <f>I43+I47</f>
        <v>475.58599355628394</v>
      </c>
      <c r="J48" s="25">
        <f t="shared" ref="J48:M48" si="65">J43+J47</f>
        <v>1326.0851295562752</v>
      </c>
      <c r="K48" s="25">
        <f t="shared" si="65"/>
        <v>2183.6242316362768</v>
      </c>
      <c r="L48" s="25">
        <f t="shared" si="65"/>
        <v>3048.0449986186723</v>
      </c>
      <c r="M48" s="25">
        <f t="shared" si="65"/>
        <v>3919.1769902873493</v>
      </c>
      <c r="O48" s="53" t="s">
        <v>77</v>
      </c>
      <c r="P48" s="25">
        <f t="shared" ref="P48" si="66">P43+P47</f>
        <v>8680.9635600720212</v>
      </c>
      <c r="Q48" s="25">
        <f t="shared" ref="Q48" si="67">Q43+Q47</f>
        <v>9722.2121040720231</v>
      </c>
      <c r="R48" s="25">
        <f t="shared" ref="R48" si="68">R43+R47</f>
        <v>10774.342072392028</v>
      </c>
      <c r="S48" s="25">
        <f t="shared" ref="S48" si="69">S43+S47</f>
        <v>11837.272787121619</v>
      </c>
      <c r="T48" s="25">
        <f t="shared" ref="T48" si="70">T43+T47</f>
        <v>12910.913007600306</v>
      </c>
    </row>
    <row r="49" spans="8:20" x14ac:dyDescent="0.25">
      <c r="H49" s="53" t="s">
        <v>79</v>
      </c>
      <c r="I49" s="25">
        <f>I44+I47</f>
        <v>3500</v>
      </c>
      <c r="J49" s="25">
        <f>J44+J47</f>
        <v>6164.8990800668835</v>
      </c>
      <c r="K49" s="25">
        <f t="shared" ref="K49:M49" si="71">K44+K47</f>
        <v>7022.4381821468851</v>
      </c>
      <c r="L49" s="25">
        <f t="shared" si="71"/>
        <v>7886.8589491292805</v>
      </c>
      <c r="M49" s="25">
        <f t="shared" si="71"/>
        <v>8757.9909407979576</v>
      </c>
      <c r="O49" s="53" t="s">
        <v>77</v>
      </c>
      <c r="P49" s="25">
        <f>P44+P47</f>
        <v>11100.370535327325</v>
      </c>
      <c r="Q49" s="25">
        <f t="shared" ref="Q49:T49" si="72">Q44+Q47</f>
        <v>12141.619079327327</v>
      </c>
      <c r="R49" s="25">
        <f t="shared" si="72"/>
        <v>13193.749047647332</v>
      </c>
      <c r="S49" s="25">
        <f t="shared" si="72"/>
        <v>14256.679762376923</v>
      </c>
      <c r="T49" s="25">
        <f t="shared" si="72"/>
        <v>15330.31998285561</v>
      </c>
    </row>
    <row r="50" spans="8:20" x14ac:dyDescent="0.25">
      <c r="H50" s="53" t="s">
        <v>80</v>
      </c>
      <c r="I50" s="25">
        <f>I45+I47</f>
        <v>10114.399944066892</v>
      </c>
      <c r="J50" s="25">
        <f>J45+J47</f>
        <v>10964.899080066883</v>
      </c>
      <c r="K50" s="25">
        <f t="shared" ref="K50:M50" si="73">K45+K47</f>
        <v>11822.438182146885</v>
      </c>
      <c r="L50" s="25">
        <f t="shared" si="73"/>
        <v>12686.858949129281</v>
      </c>
      <c r="M50" s="56">
        <f t="shared" si="73"/>
        <v>13557.990940797958</v>
      </c>
      <c r="O50" s="53" t="s">
        <v>77</v>
      </c>
      <c r="P50" s="60">
        <f>P45+P47</f>
        <v>13500.370535327325</v>
      </c>
      <c r="Q50" s="60">
        <f>Q45+Q47</f>
        <v>14541.619079327327</v>
      </c>
      <c r="R50" s="60">
        <f>R45+R47</f>
        <v>15593.749047647332</v>
      </c>
      <c r="S50" s="60">
        <f>S45+S47</f>
        <v>16656.679762376923</v>
      </c>
      <c r="T50" s="62">
        <f>T45+T47</f>
        <v>17730.31998285561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4" workbookViewId="0">
      <selection activeCell="B14" sqref="B14"/>
    </sheetView>
  </sheetViews>
  <sheetFormatPr defaultRowHeight="15" x14ac:dyDescent="0.25"/>
  <cols>
    <col min="2" max="2" width="11.5703125" bestFit="1" customWidth="1"/>
    <col min="4" max="4" width="12" customWidth="1"/>
  </cols>
  <sheetData>
    <row r="1" spans="1:4" x14ac:dyDescent="0.25">
      <c r="A1" t="s">
        <v>0</v>
      </c>
    </row>
    <row r="2" spans="1:4" x14ac:dyDescent="0.25">
      <c r="A2" t="s">
        <v>1</v>
      </c>
      <c r="B2">
        <v>8</v>
      </c>
    </row>
    <row r="3" spans="1:4" x14ac:dyDescent="0.25">
      <c r="A3" t="s">
        <v>2</v>
      </c>
      <c r="B3">
        <v>120000</v>
      </c>
    </row>
    <row r="4" spans="1:4" x14ac:dyDescent="0.25">
      <c r="A4" t="s">
        <v>3</v>
      </c>
      <c r="C4">
        <v>20000</v>
      </c>
    </row>
    <row r="5" spans="1:4" x14ac:dyDescent="0.25">
      <c r="A5" t="s">
        <v>4</v>
      </c>
      <c r="C5">
        <v>20000</v>
      </c>
    </row>
    <row r="6" spans="1:4" x14ac:dyDescent="0.25">
      <c r="A6" t="s">
        <v>5</v>
      </c>
      <c r="C6">
        <v>80000</v>
      </c>
    </row>
    <row r="7" spans="1:4" x14ac:dyDescent="0.25">
      <c r="A7" t="s">
        <v>6</v>
      </c>
      <c r="B7">
        <f>B2*B3</f>
        <v>960000</v>
      </c>
    </row>
    <row r="9" spans="1:4" x14ac:dyDescent="0.25">
      <c r="A9" t="s">
        <v>7</v>
      </c>
      <c r="B9" s="1">
        <v>0.3</v>
      </c>
    </row>
    <row r="10" spans="1:4" x14ac:dyDescent="0.25">
      <c r="B10">
        <f>B7*B9</f>
        <v>288000</v>
      </c>
    </row>
    <row r="11" spans="1:4" x14ac:dyDescent="0.25">
      <c r="A11" t="s">
        <v>8</v>
      </c>
      <c r="B11">
        <f>B7-B10</f>
        <v>672000</v>
      </c>
      <c r="C11">
        <f>B11-B12</f>
        <v>512000</v>
      </c>
    </row>
    <row r="12" spans="1:4" x14ac:dyDescent="0.25">
      <c r="A12" s="52" t="s">
        <v>63</v>
      </c>
      <c r="B12">
        <f>B2*20000</f>
        <v>160000</v>
      </c>
    </row>
    <row r="13" spans="1:4" x14ac:dyDescent="0.25">
      <c r="A13" t="s">
        <v>9</v>
      </c>
    </row>
    <row r="14" spans="1:4" x14ac:dyDescent="0.25">
      <c r="A14" t="s">
        <v>10</v>
      </c>
      <c r="B14" s="2">
        <f>PMT(0.05,15,-B11)</f>
        <v>64742.017273412217</v>
      </c>
    </row>
    <row r="16" spans="1:4" x14ac:dyDescent="0.25">
      <c r="A16" t="s">
        <v>73</v>
      </c>
      <c r="B16" s="2">
        <f>PMT(0.05,20,(-20000*8))</f>
        <v>12838.81395051061</v>
      </c>
      <c r="D16" s="2">
        <f>PMT(0.05,20,(-20000*4))</f>
        <v>6419.406975255305</v>
      </c>
    </row>
    <row r="17" spans="1:4" x14ac:dyDescent="0.25">
      <c r="A17" t="s">
        <v>10</v>
      </c>
      <c r="B17" s="2">
        <f>PMT(0.05,15,-C11)</f>
        <v>49327.251255933115</v>
      </c>
      <c r="D17" s="2">
        <v>57034.63426467267</v>
      </c>
    </row>
    <row r="18" spans="1:4" x14ac:dyDescent="0.25">
      <c r="B18" s="2">
        <f>B16+B17</f>
        <v>62166.065206443724</v>
      </c>
      <c r="D18" s="2">
        <f>D16+D17</f>
        <v>63454.041239927974</v>
      </c>
    </row>
    <row r="20" spans="1:4" x14ac:dyDescent="0.25">
      <c r="A20" t="s">
        <v>74</v>
      </c>
      <c r="B20">
        <f>B12/20</f>
        <v>8000</v>
      </c>
      <c r="D20">
        <f>(B12/2)/20</f>
        <v>4000</v>
      </c>
    </row>
    <row r="21" spans="1:4" x14ac:dyDescent="0.25">
      <c r="A21" t="s">
        <v>10</v>
      </c>
      <c r="B21" s="2">
        <f>PMT(0.05,15,-C11)</f>
        <v>49327.251255933115</v>
      </c>
      <c r="D21" s="2">
        <v>57034.63426467267</v>
      </c>
    </row>
    <row r="22" spans="1:4" x14ac:dyDescent="0.25">
      <c r="B22" s="2">
        <f>B20+B21</f>
        <v>57327.251255933115</v>
      </c>
      <c r="D22" s="2">
        <f>D20+D21</f>
        <v>61034.63426467267</v>
      </c>
    </row>
    <row r="24" spans="1:4" x14ac:dyDescent="0.25">
      <c r="A24" t="s">
        <v>75</v>
      </c>
      <c r="B24">
        <f>B12*0.02</f>
        <v>3200</v>
      </c>
      <c r="D24">
        <v>1600</v>
      </c>
    </row>
    <row r="25" spans="1:4" x14ac:dyDescent="0.25">
      <c r="A25" t="s">
        <v>10</v>
      </c>
      <c r="B25" s="2">
        <f>PMT(0.05,15,-C11)</f>
        <v>49327.251255933115</v>
      </c>
      <c r="D25" s="2">
        <v>57034.63426467267</v>
      </c>
    </row>
    <row r="26" spans="1:4" x14ac:dyDescent="0.25">
      <c r="B26" s="2">
        <f>B24+B25</f>
        <v>52527.251255933115</v>
      </c>
      <c r="D26" s="2">
        <f>D24+D25</f>
        <v>58634.63426467267</v>
      </c>
    </row>
    <row r="28" spans="1:4" x14ac:dyDescent="0.25">
      <c r="A28" t="s">
        <v>76</v>
      </c>
      <c r="B28">
        <f>(B12/2)*0.02</f>
        <v>1600</v>
      </c>
    </row>
    <row r="29" spans="1:4" x14ac:dyDescent="0.25">
      <c r="A29" t="s">
        <v>10</v>
      </c>
      <c r="B29" s="2">
        <f>PMT(0.05,15,-(B11-80000))</f>
        <v>57034.63426467267</v>
      </c>
    </row>
    <row r="30" spans="1:4" x14ac:dyDescent="0.25">
      <c r="B30" s="2">
        <f>B28+B29</f>
        <v>58634.63426467267</v>
      </c>
    </row>
  </sheetData>
  <hyperlinks>
    <hyperlink ref="A1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7" workbookViewId="0">
      <selection activeCell="H12" sqref="H12"/>
    </sheetView>
  </sheetViews>
  <sheetFormatPr defaultRowHeight="15" x14ac:dyDescent="0.25"/>
  <cols>
    <col min="1" max="1" width="12.7109375" customWidth="1"/>
    <col min="2" max="2" width="11.42578125" customWidth="1"/>
    <col min="14" max="14" width="10.140625" bestFit="1" customWidth="1"/>
  </cols>
  <sheetData>
    <row r="1" spans="1:16" x14ac:dyDescent="0.25">
      <c r="A1" s="28" t="s">
        <v>41</v>
      </c>
      <c r="D1" s="29"/>
      <c r="H1" s="29"/>
      <c r="L1" s="29"/>
      <c r="P1" s="29"/>
    </row>
    <row r="2" spans="1:16" x14ac:dyDescent="0.25">
      <c r="A2" t="s">
        <v>71</v>
      </c>
      <c r="D2" s="29"/>
      <c r="H2" s="29"/>
      <c r="L2" s="29"/>
      <c r="P2" s="29"/>
    </row>
    <row r="3" spans="1:16" x14ac:dyDescent="0.25">
      <c r="B3" s="30" t="s">
        <v>42</v>
      </c>
      <c r="C3" s="30" t="s">
        <v>43</v>
      </c>
      <c r="D3" s="31" t="s">
        <v>44</v>
      </c>
      <c r="E3" s="32"/>
      <c r="F3" s="30" t="s">
        <v>45</v>
      </c>
      <c r="G3" s="30" t="s">
        <v>43</v>
      </c>
      <c r="H3" s="31" t="s">
        <v>44</v>
      </c>
      <c r="I3" s="33"/>
      <c r="J3" s="30" t="s">
        <v>46</v>
      </c>
      <c r="K3" s="30" t="s">
        <v>43</v>
      </c>
      <c r="L3" s="31" t="s">
        <v>44</v>
      </c>
      <c r="M3" s="33"/>
      <c r="N3" s="30" t="s">
        <v>47</v>
      </c>
      <c r="O3" s="30" t="s">
        <v>43</v>
      </c>
      <c r="P3" s="31" t="s">
        <v>44</v>
      </c>
    </row>
    <row r="4" spans="1:16" x14ac:dyDescent="0.25">
      <c r="B4" s="30"/>
      <c r="C4" s="30"/>
      <c r="D4" s="31"/>
      <c r="E4" s="32"/>
      <c r="F4" s="30"/>
      <c r="G4" s="30"/>
      <c r="H4" s="31"/>
      <c r="I4" s="33"/>
      <c r="J4" s="30"/>
      <c r="K4" s="30"/>
      <c r="L4" s="31"/>
      <c r="M4" s="33"/>
      <c r="N4" s="30"/>
      <c r="O4" s="30"/>
      <c r="P4" s="31"/>
    </row>
    <row r="5" spans="1:16" x14ac:dyDescent="0.25">
      <c r="A5" s="28" t="s">
        <v>48</v>
      </c>
      <c r="B5" s="34">
        <v>797</v>
      </c>
      <c r="C5">
        <v>0</v>
      </c>
      <c r="D5" s="35" t="s">
        <v>49</v>
      </c>
      <c r="E5" s="36"/>
      <c r="F5" s="34">
        <v>797</v>
      </c>
      <c r="G5">
        <v>0</v>
      </c>
      <c r="H5" s="35" t="s">
        <v>49</v>
      </c>
      <c r="I5" s="37"/>
      <c r="J5" s="34">
        <v>926</v>
      </c>
      <c r="K5">
        <v>0</v>
      </c>
      <c r="L5" s="35" t="s">
        <v>50</v>
      </c>
      <c r="M5" s="37"/>
      <c r="N5" s="34">
        <v>1158</v>
      </c>
      <c r="O5">
        <v>0</v>
      </c>
      <c r="P5" s="35" t="s">
        <v>50</v>
      </c>
    </row>
    <row r="6" spans="1:16" x14ac:dyDescent="0.25">
      <c r="A6" s="28" t="s">
        <v>51</v>
      </c>
      <c r="B6" s="34">
        <v>0</v>
      </c>
      <c r="C6">
        <v>0</v>
      </c>
      <c r="D6" s="35" t="s">
        <v>50</v>
      </c>
      <c r="E6" s="36"/>
      <c r="F6" s="34">
        <v>992</v>
      </c>
      <c r="G6">
        <v>8</v>
      </c>
      <c r="H6" s="35" t="s">
        <v>49</v>
      </c>
      <c r="I6" s="37"/>
      <c r="J6" s="34">
        <v>1043</v>
      </c>
      <c r="K6">
        <v>0</v>
      </c>
      <c r="L6" s="35" t="s">
        <v>50</v>
      </c>
      <c r="M6" s="37"/>
      <c r="N6" s="34">
        <v>1303</v>
      </c>
      <c r="O6">
        <v>0</v>
      </c>
      <c r="P6" s="35" t="s">
        <v>50</v>
      </c>
    </row>
    <row r="7" spans="1:16" x14ac:dyDescent="0.25">
      <c r="A7" s="28" t="s">
        <v>52</v>
      </c>
      <c r="B7" s="34">
        <v>0</v>
      </c>
      <c r="C7" s="38">
        <v>0</v>
      </c>
      <c r="D7" s="39" t="s">
        <v>50</v>
      </c>
      <c r="E7" s="40"/>
      <c r="F7" s="34">
        <v>1282</v>
      </c>
      <c r="G7" s="38">
        <v>0</v>
      </c>
      <c r="H7" s="39" t="s">
        <v>60</v>
      </c>
      <c r="I7" s="41"/>
      <c r="J7" s="34">
        <v>1282</v>
      </c>
      <c r="K7" s="38">
        <v>0</v>
      </c>
      <c r="L7" s="39" t="s">
        <v>49</v>
      </c>
      <c r="M7" s="41"/>
      <c r="N7" s="34">
        <v>1448</v>
      </c>
      <c r="O7" s="38">
        <v>0</v>
      </c>
      <c r="P7" s="39" t="s">
        <v>50</v>
      </c>
    </row>
    <row r="8" spans="1:16" x14ac:dyDescent="0.25">
      <c r="A8" s="28" t="s">
        <v>61</v>
      </c>
      <c r="C8">
        <f>SUM(C5:C7)</f>
        <v>0</v>
      </c>
      <c r="D8" s="29"/>
      <c r="E8" s="36"/>
      <c r="G8">
        <f>SUM(G5:G7)</f>
        <v>8</v>
      </c>
      <c r="H8" s="29"/>
      <c r="I8" s="42"/>
      <c r="K8">
        <f>SUM(K5:K7)</f>
        <v>0</v>
      </c>
      <c r="L8" s="29"/>
      <c r="M8" s="42"/>
      <c r="O8">
        <f>SUM(O5:O7)</f>
        <v>0</v>
      </c>
      <c r="P8" s="29"/>
    </row>
    <row r="9" spans="1:16" x14ac:dyDescent="0.25">
      <c r="A9" s="28"/>
      <c r="D9" s="29"/>
      <c r="E9" s="43"/>
      <c r="H9" s="29"/>
      <c r="L9" s="29"/>
      <c r="P9" s="29"/>
    </row>
    <row r="10" spans="1:16" x14ac:dyDescent="0.25">
      <c r="A10" s="28" t="s">
        <v>53</v>
      </c>
      <c r="C10" s="44">
        <f>C8/60</f>
        <v>0</v>
      </c>
      <c r="D10" s="45"/>
      <c r="E10" s="46"/>
      <c r="F10" s="44"/>
      <c r="G10" s="44">
        <f>G8/4</f>
        <v>2</v>
      </c>
      <c r="H10" s="45"/>
      <c r="I10" s="44"/>
      <c r="J10" s="44"/>
      <c r="K10" s="44">
        <f>K8/4</f>
        <v>0</v>
      </c>
      <c r="L10" s="45"/>
      <c r="M10" s="44"/>
      <c r="N10" s="44"/>
      <c r="O10" s="44">
        <f>O8/60</f>
        <v>0</v>
      </c>
      <c r="P10" s="45"/>
    </row>
    <row r="11" spans="1:16" x14ac:dyDescent="0.25">
      <c r="C11" s="44"/>
      <c r="D11" s="45"/>
      <c r="E11" s="44"/>
      <c r="F11" s="44"/>
      <c r="G11" s="44"/>
      <c r="H11" s="45"/>
      <c r="I11" s="44"/>
      <c r="J11" s="44"/>
      <c r="K11" s="44"/>
      <c r="L11" s="45"/>
      <c r="M11" s="44"/>
      <c r="N11" s="44"/>
      <c r="O11" s="44"/>
      <c r="P11" s="45"/>
    </row>
    <row r="12" spans="1:16" x14ac:dyDescent="0.25">
      <c r="A12" s="30" t="s">
        <v>54</v>
      </c>
      <c r="B12" s="30" t="s">
        <v>55</v>
      </c>
      <c r="C12" s="44"/>
      <c r="D12" s="45"/>
      <c r="E12" s="44"/>
      <c r="F12" s="44"/>
      <c r="G12" s="44"/>
      <c r="H12" s="45"/>
      <c r="I12" s="44"/>
      <c r="J12" s="44"/>
      <c r="K12" s="44"/>
      <c r="L12" s="45"/>
      <c r="M12" s="44"/>
      <c r="N12" s="44"/>
      <c r="O12" s="44"/>
      <c r="P12" s="45"/>
    </row>
    <row r="13" spans="1:16" x14ac:dyDescent="0.25">
      <c r="A13" s="30"/>
      <c r="B13" s="30"/>
      <c r="C13" s="44"/>
      <c r="D13" s="45"/>
      <c r="E13" s="44"/>
      <c r="F13" s="44"/>
      <c r="G13" s="44"/>
      <c r="H13" s="45"/>
      <c r="I13" s="44"/>
      <c r="J13" s="44"/>
      <c r="K13" s="44"/>
      <c r="L13" s="45"/>
      <c r="M13" s="44"/>
      <c r="N13" s="44"/>
      <c r="O13" s="44"/>
      <c r="P13" s="45"/>
    </row>
    <row r="14" spans="1:16" x14ac:dyDescent="0.25">
      <c r="A14" s="34">
        <f>B5*C5+F5*G5+J5*K5+N5*O5</f>
        <v>0</v>
      </c>
      <c r="B14" s="47">
        <f>A14*12</f>
        <v>0</v>
      </c>
      <c r="C14" s="44"/>
      <c r="D14" s="48" t="s">
        <v>56</v>
      </c>
      <c r="E14" s="44"/>
      <c r="F14" s="44"/>
      <c r="G14" s="44"/>
      <c r="H14" s="45"/>
      <c r="I14" s="44"/>
      <c r="J14" s="44"/>
      <c r="K14" s="44"/>
      <c r="L14" s="45"/>
      <c r="M14" s="44"/>
      <c r="N14" s="44"/>
      <c r="O14" s="44"/>
      <c r="P14" s="45"/>
    </row>
    <row r="15" spans="1:16" x14ac:dyDescent="0.25">
      <c r="A15" s="34">
        <f>B6*C6+F6*G6+J6*K6+N6*O6</f>
        <v>7936</v>
      </c>
      <c r="B15" s="47">
        <f t="shared" ref="B15:B16" si="0">A15*12</f>
        <v>95232</v>
      </c>
      <c r="C15" s="44"/>
      <c r="D15" s="48" t="s">
        <v>57</v>
      </c>
      <c r="E15" s="44"/>
      <c r="F15" s="44"/>
      <c r="G15" s="44"/>
      <c r="H15" s="45"/>
      <c r="I15" s="44"/>
      <c r="J15" s="44"/>
      <c r="K15" s="44"/>
      <c r="L15" s="45"/>
      <c r="M15" s="44"/>
      <c r="N15" s="44"/>
      <c r="O15" s="44"/>
      <c r="P15" s="45"/>
    </row>
    <row r="16" spans="1:16" x14ac:dyDescent="0.25">
      <c r="A16" s="49">
        <f>B7*C7+F7*G7+J7*K7+N7*O7</f>
        <v>0</v>
      </c>
      <c r="B16" s="50">
        <f t="shared" si="0"/>
        <v>0</v>
      </c>
      <c r="C16" s="44"/>
      <c r="D16" s="48" t="s">
        <v>58</v>
      </c>
      <c r="E16" s="44"/>
      <c r="F16" s="44"/>
      <c r="G16" s="44"/>
      <c r="H16" s="45"/>
      <c r="I16" s="44"/>
      <c r="J16" s="44"/>
      <c r="K16" s="44"/>
      <c r="L16" s="45"/>
      <c r="M16" s="44"/>
      <c r="N16" s="44"/>
      <c r="O16" s="44"/>
      <c r="P16" s="45"/>
    </row>
    <row r="17" spans="1:16" x14ac:dyDescent="0.25">
      <c r="A17" s="34">
        <f>SUM(A14:A16)</f>
        <v>7936</v>
      </c>
      <c r="B17" s="47">
        <f>SUM(B14:B16)</f>
        <v>95232</v>
      </c>
      <c r="C17" s="44"/>
      <c r="D17" s="48" t="s">
        <v>59</v>
      </c>
      <c r="E17" s="44"/>
      <c r="F17" s="44"/>
      <c r="G17" s="44"/>
      <c r="H17" s="45"/>
      <c r="I17" s="44"/>
      <c r="J17" s="44"/>
      <c r="K17" s="44"/>
      <c r="L17" s="45"/>
      <c r="M17" s="44"/>
      <c r="N17" s="44"/>
      <c r="O17" s="44"/>
      <c r="P17" s="45"/>
    </row>
    <row r="19" spans="1:16" x14ac:dyDescent="0.25">
      <c r="A19" s="28" t="s">
        <v>41</v>
      </c>
      <c r="D19" s="29"/>
      <c r="H19" s="29"/>
      <c r="L19" s="29"/>
      <c r="P19" s="29"/>
    </row>
    <row r="20" spans="1:16" x14ac:dyDescent="0.25">
      <c r="A20" t="s">
        <v>72</v>
      </c>
      <c r="D20" s="29"/>
      <c r="H20" s="29"/>
      <c r="L20" s="29"/>
      <c r="P20" s="29"/>
    </row>
    <row r="21" spans="1:16" x14ac:dyDescent="0.25">
      <c r="B21" s="30" t="s">
        <v>42</v>
      </c>
      <c r="C21" s="30" t="s">
        <v>43</v>
      </c>
      <c r="D21" s="31" t="s">
        <v>44</v>
      </c>
      <c r="E21" s="32"/>
      <c r="F21" s="30" t="s">
        <v>45</v>
      </c>
      <c r="G21" s="30" t="s">
        <v>43</v>
      </c>
      <c r="H21" s="31" t="s">
        <v>44</v>
      </c>
      <c r="I21" s="33"/>
      <c r="J21" s="30" t="s">
        <v>46</v>
      </c>
      <c r="K21" s="30" t="s">
        <v>43</v>
      </c>
      <c r="L21" s="31" t="s">
        <v>44</v>
      </c>
      <c r="M21" s="33"/>
      <c r="N21" s="30" t="s">
        <v>47</v>
      </c>
      <c r="O21" s="30" t="s">
        <v>43</v>
      </c>
      <c r="P21" s="31" t="s">
        <v>44</v>
      </c>
    </row>
    <row r="22" spans="1:16" x14ac:dyDescent="0.25">
      <c r="B22" s="30"/>
      <c r="C22" s="30"/>
      <c r="D22" s="31"/>
      <c r="E22" s="32"/>
      <c r="F22" s="30"/>
      <c r="G22" s="30"/>
      <c r="H22" s="31"/>
      <c r="I22" s="33"/>
      <c r="J22" s="30"/>
      <c r="K22" s="30"/>
      <c r="L22" s="31"/>
      <c r="M22" s="33"/>
      <c r="N22" s="30"/>
      <c r="O22" s="30"/>
      <c r="P22" s="31"/>
    </row>
    <row r="23" spans="1:16" x14ac:dyDescent="0.25">
      <c r="A23" s="28" t="s">
        <v>48</v>
      </c>
      <c r="B23" s="34">
        <v>797</v>
      </c>
      <c r="C23">
        <v>0</v>
      </c>
      <c r="D23" s="35" t="s">
        <v>49</v>
      </c>
      <c r="E23" s="36"/>
      <c r="F23" s="34">
        <v>797</v>
      </c>
      <c r="G23">
        <v>0</v>
      </c>
      <c r="H23" s="35" t="s">
        <v>49</v>
      </c>
      <c r="I23" s="37"/>
      <c r="J23" s="34">
        <v>926</v>
      </c>
      <c r="K23">
        <v>0</v>
      </c>
      <c r="L23" s="35" t="s">
        <v>50</v>
      </c>
      <c r="M23" s="37"/>
      <c r="N23" s="34">
        <v>930</v>
      </c>
      <c r="O23">
        <v>0</v>
      </c>
      <c r="P23" s="35" t="s">
        <v>50</v>
      </c>
    </row>
    <row r="24" spans="1:16" x14ac:dyDescent="0.25">
      <c r="A24" s="28" t="s">
        <v>51</v>
      </c>
      <c r="B24" s="34">
        <v>0</v>
      </c>
      <c r="C24">
        <v>0</v>
      </c>
      <c r="D24" s="35" t="s">
        <v>50</v>
      </c>
      <c r="E24" s="36"/>
      <c r="F24" s="34">
        <v>992</v>
      </c>
      <c r="G24">
        <v>0</v>
      </c>
      <c r="H24" s="35" t="s">
        <v>49</v>
      </c>
      <c r="I24" s="37"/>
      <c r="J24" s="34">
        <v>1043</v>
      </c>
      <c r="K24">
        <v>0</v>
      </c>
      <c r="L24" s="35" t="s">
        <v>50</v>
      </c>
      <c r="M24" s="37"/>
      <c r="N24" s="34">
        <f>1061+133</f>
        <v>1194</v>
      </c>
      <c r="O24">
        <v>8</v>
      </c>
      <c r="P24" s="35" t="s">
        <v>50</v>
      </c>
    </row>
    <row r="25" spans="1:16" x14ac:dyDescent="0.25">
      <c r="A25" s="28" t="s">
        <v>52</v>
      </c>
      <c r="B25" s="34">
        <v>0</v>
      </c>
      <c r="C25" s="38">
        <v>0</v>
      </c>
      <c r="D25" s="39" t="s">
        <v>50</v>
      </c>
      <c r="E25" s="40"/>
      <c r="F25" s="34">
        <v>1282</v>
      </c>
      <c r="G25" s="38">
        <v>0</v>
      </c>
      <c r="H25" s="39" t="s">
        <v>60</v>
      </c>
      <c r="I25" s="41"/>
      <c r="J25" s="34">
        <v>1282</v>
      </c>
      <c r="K25" s="38">
        <v>0</v>
      </c>
      <c r="L25" s="39" t="s">
        <v>49</v>
      </c>
      <c r="M25" s="41"/>
      <c r="N25" s="34">
        <v>1127</v>
      </c>
      <c r="O25" s="38">
        <v>0</v>
      </c>
      <c r="P25" s="39" t="s">
        <v>50</v>
      </c>
    </row>
    <row r="26" spans="1:16" x14ac:dyDescent="0.25">
      <c r="A26" s="28" t="s">
        <v>61</v>
      </c>
      <c r="C26">
        <f>SUM(C23:C25)</f>
        <v>0</v>
      </c>
      <c r="D26" s="29"/>
      <c r="E26" s="36"/>
      <c r="G26">
        <f>SUM(G23:G25)</f>
        <v>0</v>
      </c>
      <c r="H26" s="29"/>
      <c r="I26" s="42"/>
      <c r="K26">
        <f>SUM(K23:K25)</f>
        <v>0</v>
      </c>
      <c r="L26" s="29"/>
      <c r="M26" s="42"/>
      <c r="O26">
        <f>SUM(O23:O25)</f>
        <v>8</v>
      </c>
      <c r="P26" s="29"/>
    </row>
    <row r="27" spans="1:16" x14ac:dyDescent="0.25">
      <c r="A27" s="28"/>
      <c r="D27" s="29"/>
      <c r="E27" s="43"/>
      <c r="H27" s="29"/>
      <c r="L27" s="29"/>
      <c r="P27" s="29"/>
    </row>
    <row r="28" spans="1:16" x14ac:dyDescent="0.25">
      <c r="A28" s="28" t="s">
        <v>53</v>
      </c>
      <c r="C28" s="44">
        <f>C26/60</f>
        <v>0</v>
      </c>
      <c r="D28" s="45"/>
      <c r="E28" s="46"/>
      <c r="F28" s="44"/>
      <c r="G28" s="44">
        <f>G26/4</f>
        <v>0</v>
      </c>
      <c r="H28" s="45"/>
      <c r="I28" s="44"/>
      <c r="J28" s="44"/>
      <c r="K28" s="44">
        <f>K26/4</f>
        <v>0</v>
      </c>
      <c r="L28" s="45"/>
      <c r="M28" s="44"/>
      <c r="N28" s="44"/>
      <c r="O28" s="44">
        <f>O26/60</f>
        <v>0.13333333333333333</v>
      </c>
      <c r="P28" s="45"/>
    </row>
    <row r="29" spans="1:16" x14ac:dyDescent="0.25">
      <c r="C29" s="44"/>
      <c r="D29" s="45"/>
      <c r="E29" s="44"/>
      <c r="F29" s="44"/>
      <c r="G29" s="44"/>
      <c r="H29" s="45"/>
      <c r="I29" s="44"/>
      <c r="J29" s="44"/>
      <c r="K29" s="44"/>
      <c r="L29" s="45"/>
      <c r="M29" s="44"/>
      <c r="N29" s="44"/>
      <c r="O29" s="44"/>
      <c r="P29" s="45"/>
    </row>
    <row r="30" spans="1:16" x14ac:dyDescent="0.25">
      <c r="A30" s="30" t="s">
        <v>54</v>
      </c>
      <c r="B30" s="30" t="s">
        <v>55</v>
      </c>
      <c r="C30" s="44"/>
      <c r="D30" s="45"/>
      <c r="E30" s="44"/>
      <c r="F30" s="44"/>
      <c r="G30" s="44"/>
      <c r="H30" s="45"/>
      <c r="I30" s="44"/>
      <c r="J30" s="44"/>
      <c r="K30" s="44"/>
      <c r="L30" s="45"/>
      <c r="M30" s="44"/>
      <c r="N30" s="44"/>
      <c r="O30" s="44"/>
      <c r="P30" s="45"/>
    </row>
    <row r="31" spans="1:16" x14ac:dyDescent="0.25">
      <c r="A31" s="30"/>
      <c r="B31" s="30"/>
      <c r="C31" s="44"/>
      <c r="D31" s="45"/>
      <c r="E31" s="44"/>
      <c r="F31" s="44"/>
      <c r="G31" s="44"/>
      <c r="H31" s="45"/>
      <c r="I31" s="44"/>
      <c r="J31" s="44"/>
      <c r="K31" s="44"/>
      <c r="L31" s="45"/>
      <c r="M31" s="44"/>
      <c r="N31" s="44"/>
      <c r="O31" s="44"/>
      <c r="P31" s="45"/>
    </row>
    <row r="32" spans="1:16" x14ac:dyDescent="0.25">
      <c r="A32" s="34">
        <f>B23*C23+F23*G23+J23*K23+N23*O23</f>
        <v>0</v>
      </c>
      <c r="B32" s="47">
        <f>A32*12</f>
        <v>0</v>
      </c>
      <c r="C32" s="44"/>
      <c r="D32" s="48" t="s">
        <v>56</v>
      </c>
      <c r="E32" s="44"/>
      <c r="F32" s="44"/>
      <c r="G32" s="44"/>
      <c r="H32" s="45"/>
      <c r="I32" s="44"/>
      <c r="J32" s="44"/>
      <c r="K32" s="44"/>
      <c r="L32" s="45"/>
      <c r="M32" s="44"/>
      <c r="N32" s="44"/>
      <c r="O32" s="44"/>
      <c r="P32" s="45"/>
    </row>
    <row r="33" spans="1:16" x14ac:dyDescent="0.25">
      <c r="A33" s="34">
        <f>B24*C24+F24*G24+J24*K24+N24*O24</f>
        <v>9552</v>
      </c>
      <c r="B33" s="47">
        <f t="shared" ref="B33:B34" si="1">A33*12</f>
        <v>114624</v>
      </c>
      <c r="C33" s="44"/>
      <c r="D33" s="48" t="s">
        <v>57</v>
      </c>
      <c r="E33" s="44"/>
      <c r="F33" s="44"/>
      <c r="G33" s="44"/>
      <c r="H33" s="45"/>
      <c r="I33" s="44"/>
      <c r="J33" s="44"/>
      <c r="K33" s="44"/>
      <c r="L33" s="45"/>
      <c r="M33" s="44"/>
      <c r="N33" s="44"/>
      <c r="O33" s="44"/>
      <c r="P33" s="45"/>
    </row>
    <row r="34" spans="1:16" x14ac:dyDescent="0.25">
      <c r="A34" s="49">
        <f>B25*C25+F25*G25+J25*K25+N25*O25</f>
        <v>0</v>
      </c>
      <c r="B34" s="50">
        <f t="shared" si="1"/>
        <v>0</v>
      </c>
      <c r="C34" s="44"/>
      <c r="D34" s="48" t="s">
        <v>58</v>
      </c>
      <c r="E34" s="44"/>
      <c r="F34" s="44"/>
      <c r="G34" s="44"/>
      <c r="H34" s="45"/>
      <c r="I34" s="44"/>
      <c r="J34" s="44"/>
      <c r="K34" s="44"/>
      <c r="L34" s="45"/>
      <c r="M34" s="44"/>
      <c r="N34" s="44"/>
      <c r="O34" s="44"/>
      <c r="P34" s="45"/>
    </row>
    <row r="35" spans="1:16" x14ac:dyDescent="0.25">
      <c r="A35" s="34">
        <f>SUM(A32:A34)</f>
        <v>9552</v>
      </c>
      <c r="B35" s="47">
        <f>SUM(B32:B34)</f>
        <v>114624</v>
      </c>
      <c r="C35" s="44"/>
      <c r="D35" s="48" t="s">
        <v>59</v>
      </c>
      <c r="E35" s="44"/>
      <c r="F35" s="44"/>
      <c r="G35" s="44"/>
      <c r="H35" s="45"/>
      <c r="I35" s="44"/>
      <c r="J35" s="44"/>
      <c r="K35" s="44"/>
      <c r="L35" s="45"/>
      <c r="M35" s="44"/>
      <c r="N35" s="44"/>
      <c r="O35" s="44"/>
      <c r="P35" s="45"/>
    </row>
    <row r="37" spans="1:16" x14ac:dyDescent="0.25">
      <c r="A37" s="28" t="s">
        <v>41</v>
      </c>
      <c r="D37" s="29"/>
      <c r="H37" s="29"/>
      <c r="L37" s="29"/>
      <c r="P37" s="29"/>
    </row>
    <row r="38" spans="1:16" x14ac:dyDescent="0.25">
      <c r="A38" t="s">
        <v>72</v>
      </c>
      <c r="D38" s="29"/>
      <c r="H38" s="29"/>
      <c r="L38" s="29"/>
      <c r="P38" s="29"/>
    </row>
    <row r="39" spans="1:16" x14ac:dyDescent="0.25">
      <c r="B39" s="30" t="s">
        <v>42</v>
      </c>
      <c r="C39" s="30" t="s">
        <v>43</v>
      </c>
      <c r="D39" s="31" t="s">
        <v>44</v>
      </c>
      <c r="E39" s="32"/>
      <c r="F39" s="30" t="s">
        <v>45</v>
      </c>
      <c r="G39" s="30" t="s">
        <v>43</v>
      </c>
      <c r="H39" s="31" t="s">
        <v>44</v>
      </c>
      <c r="I39" s="33"/>
      <c r="J39" s="30" t="s">
        <v>46</v>
      </c>
      <c r="K39" s="30" t="s">
        <v>43</v>
      </c>
      <c r="L39" s="31" t="s">
        <v>44</v>
      </c>
      <c r="M39" s="33"/>
      <c r="N39" s="30" t="s">
        <v>47</v>
      </c>
      <c r="O39" s="30" t="s">
        <v>43</v>
      </c>
      <c r="P39" s="31" t="s">
        <v>44</v>
      </c>
    </row>
    <row r="40" spans="1:16" x14ac:dyDescent="0.25">
      <c r="B40" s="30"/>
      <c r="C40" s="30"/>
      <c r="D40" s="31"/>
      <c r="E40" s="32"/>
      <c r="F40" s="30"/>
      <c r="G40" s="30"/>
      <c r="H40" s="31"/>
      <c r="I40" s="33"/>
      <c r="J40" s="30"/>
      <c r="K40" s="30"/>
      <c r="L40" s="31"/>
      <c r="M40" s="33"/>
      <c r="N40" s="30"/>
      <c r="O40" s="30"/>
      <c r="P40" s="31"/>
    </row>
    <row r="41" spans="1:16" x14ac:dyDescent="0.25">
      <c r="A41" s="28" t="s">
        <v>48</v>
      </c>
      <c r="B41" s="34">
        <v>797</v>
      </c>
      <c r="C41">
        <v>0</v>
      </c>
      <c r="D41" s="35" t="s">
        <v>49</v>
      </c>
      <c r="E41" s="36"/>
      <c r="F41" s="34">
        <v>797</v>
      </c>
      <c r="G41">
        <v>0</v>
      </c>
      <c r="H41" s="35" t="s">
        <v>49</v>
      </c>
      <c r="I41" s="37"/>
      <c r="J41" s="34">
        <v>926</v>
      </c>
      <c r="K41">
        <v>0</v>
      </c>
      <c r="L41" s="35" t="s">
        <v>50</v>
      </c>
      <c r="M41" s="37"/>
      <c r="N41" s="34">
        <v>930</v>
      </c>
      <c r="O41">
        <v>0</v>
      </c>
      <c r="P41" s="35" t="s">
        <v>50</v>
      </c>
    </row>
    <row r="42" spans="1:16" x14ac:dyDescent="0.25">
      <c r="A42" s="28" t="s">
        <v>51</v>
      </c>
      <c r="B42" s="34">
        <v>0</v>
      </c>
      <c r="C42">
        <v>0</v>
      </c>
      <c r="D42" s="35" t="s">
        <v>50</v>
      </c>
      <c r="E42" s="36"/>
      <c r="F42" s="34">
        <v>992</v>
      </c>
      <c r="G42">
        <v>4</v>
      </c>
      <c r="H42" s="35" t="s">
        <v>49</v>
      </c>
      <c r="I42" s="37"/>
      <c r="J42" s="34">
        <v>1043</v>
      </c>
      <c r="K42">
        <v>0</v>
      </c>
      <c r="L42" s="35" t="s">
        <v>50</v>
      </c>
      <c r="M42" s="37"/>
      <c r="N42" s="34">
        <f>1061+133</f>
        <v>1194</v>
      </c>
      <c r="O42">
        <v>4</v>
      </c>
      <c r="P42" s="35" t="s">
        <v>50</v>
      </c>
    </row>
    <row r="43" spans="1:16" x14ac:dyDescent="0.25">
      <c r="A43" s="28" t="s">
        <v>52</v>
      </c>
      <c r="B43" s="34">
        <v>0</v>
      </c>
      <c r="C43" s="38">
        <v>0</v>
      </c>
      <c r="D43" s="39" t="s">
        <v>50</v>
      </c>
      <c r="E43" s="40"/>
      <c r="F43" s="34">
        <v>1282</v>
      </c>
      <c r="G43" s="38">
        <v>0</v>
      </c>
      <c r="H43" s="39" t="s">
        <v>60</v>
      </c>
      <c r="I43" s="41"/>
      <c r="J43" s="34">
        <v>1282</v>
      </c>
      <c r="K43" s="38">
        <v>0</v>
      </c>
      <c r="L43" s="39" t="s">
        <v>49</v>
      </c>
      <c r="M43" s="41"/>
      <c r="N43" s="34">
        <v>1127</v>
      </c>
      <c r="O43" s="38">
        <v>0</v>
      </c>
      <c r="P43" s="39" t="s">
        <v>50</v>
      </c>
    </row>
    <row r="44" spans="1:16" x14ac:dyDescent="0.25">
      <c r="A44" s="28" t="s">
        <v>61</v>
      </c>
      <c r="C44">
        <f>SUM(C41:C43)</f>
        <v>0</v>
      </c>
      <c r="D44" s="29"/>
      <c r="E44" s="36"/>
      <c r="G44">
        <f>SUM(G41:G43)</f>
        <v>4</v>
      </c>
      <c r="H44" s="29"/>
      <c r="I44" s="42"/>
      <c r="K44">
        <f>SUM(K41:K43)</f>
        <v>0</v>
      </c>
      <c r="L44" s="29"/>
      <c r="M44" s="42"/>
      <c r="O44">
        <f>SUM(O41:O43)</f>
        <v>4</v>
      </c>
      <c r="P44" s="29"/>
    </row>
    <row r="45" spans="1:16" x14ac:dyDescent="0.25">
      <c r="A45" s="28"/>
      <c r="D45" s="29"/>
      <c r="E45" s="43"/>
      <c r="H45" s="29"/>
      <c r="L45" s="29"/>
      <c r="P45" s="29"/>
    </row>
    <row r="46" spans="1:16" x14ac:dyDescent="0.25">
      <c r="A46" s="28" t="s">
        <v>53</v>
      </c>
      <c r="C46" s="44">
        <f>C44/60</f>
        <v>0</v>
      </c>
      <c r="D46" s="45"/>
      <c r="E46" s="46"/>
      <c r="F46" s="44"/>
      <c r="G46" s="44">
        <f>G44/4</f>
        <v>1</v>
      </c>
      <c r="H46" s="45"/>
      <c r="I46" s="44"/>
      <c r="J46" s="44"/>
      <c r="K46" s="44">
        <f>K44/4</f>
        <v>0</v>
      </c>
      <c r="L46" s="45"/>
      <c r="M46" s="44"/>
      <c r="N46" s="44"/>
      <c r="O46" s="44">
        <f>O44/60</f>
        <v>6.6666666666666666E-2</v>
      </c>
      <c r="P46" s="45"/>
    </row>
    <row r="47" spans="1:16" x14ac:dyDescent="0.25">
      <c r="C47" s="44"/>
      <c r="D47" s="45"/>
      <c r="E47" s="44"/>
      <c r="F47" s="44"/>
      <c r="G47" s="44"/>
      <c r="H47" s="45"/>
      <c r="I47" s="44"/>
      <c r="J47" s="44"/>
      <c r="K47" s="44"/>
      <c r="L47" s="45"/>
      <c r="M47" s="44"/>
      <c r="N47" s="44"/>
      <c r="O47" s="44"/>
      <c r="P47" s="45"/>
    </row>
    <row r="48" spans="1:16" x14ac:dyDescent="0.25">
      <c r="A48" s="30" t="s">
        <v>54</v>
      </c>
      <c r="B48" s="30" t="s">
        <v>55</v>
      </c>
      <c r="C48" s="44"/>
      <c r="D48" s="45"/>
      <c r="E48" s="44"/>
      <c r="F48" s="44"/>
      <c r="G48" s="44"/>
      <c r="H48" s="45"/>
      <c r="I48" s="44"/>
      <c r="J48" s="44"/>
      <c r="K48" s="44"/>
      <c r="L48" s="45"/>
      <c r="M48" s="44"/>
      <c r="N48" s="44"/>
      <c r="O48" s="44"/>
      <c r="P48" s="45"/>
    </row>
    <row r="49" spans="1:16" x14ac:dyDescent="0.25">
      <c r="A49" s="30"/>
      <c r="B49" s="30"/>
      <c r="C49" s="44"/>
      <c r="D49" s="45"/>
      <c r="E49" s="44"/>
      <c r="F49" s="44"/>
      <c r="G49" s="44"/>
      <c r="H49" s="45"/>
      <c r="I49" s="44"/>
      <c r="J49" s="44"/>
      <c r="K49" s="44"/>
      <c r="L49" s="45"/>
      <c r="M49" s="44"/>
      <c r="N49" s="44"/>
      <c r="O49" s="44"/>
      <c r="P49" s="45"/>
    </row>
    <row r="50" spans="1:16" x14ac:dyDescent="0.25">
      <c r="A50" s="34">
        <f>B41*C41+F41*G41+J41*K41+N41*O41</f>
        <v>0</v>
      </c>
      <c r="B50" s="47">
        <f>A50*12</f>
        <v>0</v>
      </c>
      <c r="C50" s="44"/>
      <c r="D50" s="48" t="s">
        <v>56</v>
      </c>
      <c r="E50" s="44"/>
      <c r="F50" s="44"/>
      <c r="G50" s="44"/>
      <c r="H50" s="45"/>
      <c r="I50" s="44"/>
      <c r="J50" s="44"/>
      <c r="K50" s="44"/>
      <c r="L50" s="45"/>
      <c r="M50" s="44"/>
      <c r="N50" s="44"/>
      <c r="O50" s="44"/>
      <c r="P50" s="45"/>
    </row>
    <row r="51" spans="1:16" x14ac:dyDescent="0.25">
      <c r="A51" s="34">
        <f>B42*C42+F42*G42+J42*K42+N42*O42</f>
        <v>8744</v>
      </c>
      <c r="B51" s="47">
        <f t="shared" ref="B51:B52" si="2">A51*12</f>
        <v>104928</v>
      </c>
      <c r="C51" s="44"/>
      <c r="D51" s="48" t="s">
        <v>57</v>
      </c>
      <c r="E51" s="44"/>
      <c r="F51" s="44"/>
      <c r="G51" s="44"/>
      <c r="H51" s="45"/>
      <c r="I51" s="44"/>
      <c r="J51" s="44"/>
      <c r="K51" s="44"/>
      <c r="L51" s="45"/>
      <c r="M51" s="44"/>
      <c r="N51" s="44"/>
      <c r="O51" s="44"/>
      <c r="P51" s="45"/>
    </row>
    <row r="52" spans="1:16" x14ac:dyDescent="0.25">
      <c r="A52" s="49">
        <f>B43*C43+F43*G43+J43*K43+N43*O43</f>
        <v>0</v>
      </c>
      <c r="B52" s="50">
        <f t="shared" si="2"/>
        <v>0</v>
      </c>
      <c r="C52" s="44"/>
      <c r="D52" s="48" t="s">
        <v>58</v>
      </c>
      <c r="E52" s="44"/>
      <c r="F52" s="44"/>
      <c r="G52" s="44"/>
      <c r="H52" s="45"/>
      <c r="I52" s="44"/>
      <c r="J52" s="44"/>
      <c r="K52" s="44"/>
      <c r="L52" s="45"/>
      <c r="M52" s="44"/>
      <c r="N52" s="44"/>
      <c r="O52" s="44"/>
      <c r="P52" s="45"/>
    </row>
    <row r="53" spans="1:16" x14ac:dyDescent="0.25">
      <c r="A53" s="34">
        <f>SUM(A50:A52)</f>
        <v>8744</v>
      </c>
      <c r="B53" s="47">
        <f>SUM(B50:B52)</f>
        <v>104928</v>
      </c>
      <c r="C53" s="44"/>
      <c r="D53" s="48" t="s">
        <v>59</v>
      </c>
      <c r="E53" s="44"/>
      <c r="F53" s="44"/>
      <c r="G53" s="44"/>
      <c r="H53" s="45"/>
      <c r="I53" s="44"/>
      <c r="J53" s="44"/>
      <c r="K53" s="44"/>
      <c r="L53" s="45"/>
      <c r="M53" s="44"/>
      <c r="N53" s="44"/>
      <c r="O53" s="44"/>
      <c r="P53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RowHeight="15" x14ac:dyDescent="0.25"/>
  <cols>
    <col min="1" max="1" width="31.5703125" customWidth="1"/>
  </cols>
  <sheetData>
    <row r="1" spans="1:2" x14ac:dyDescent="0.25">
      <c r="A1" s="55" t="s">
        <v>65</v>
      </c>
    </row>
    <row r="3" spans="1:2" x14ac:dyDescent="0.25">
      <c r="A3" t="s">
        <v>66</v>
      </c>
      <c r="B3" s="59">
        <v>200000</v>
      </c>
    </row>
    <row r="4" spans="1:2" x14ac:dyDescent="0.25">
      <c r="A4" t="s">
        <v>67</v>
      </c>
      <c r="B4" s="59">
        <v>900000</v>
      </c>
    </row>
    <row r="5" spans="1:2" x14ac:dyDescent="0.25">
      <c r="A5" t="s">
        <v>68</v>
      </c>
      <c r="B5" s="59">
        <f>B4-B3</f>
        <v>700000</v>
      </c>
    </row>
    <row r="6" spans="1:2" x14ac:dyDescent="0.25">
      <c r="A6" t="s">
        <v>69</v>
      </c>
      <c r="B6" s="59">
        <f>(B5/100)*0.5</f>
        <v>3500</v>
      </c>
    </row>
    <row r="7" spans="1:2" x14ac:dyDescent="0.25">
      <c r="A7" t="s">
        <v>64</v>
      </c>
      <c r="B7" s="59">
        <v>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Proformas</vt:lpstr>
      <vt:lpstr>Cost and Debt WS</vt:lpstr>
      <vt:lpstr>Rent Schedule</vt:lpstr>
      <vt:lpstr>LUIG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Staudinger</dc:creator>
  <cp:lastModifiedBy>RICHARD FUQUA</cp:lastModifiedBy>
  <dcterms:created xsi:type="dcterms:W3CDTF">2017-03-10T15:34:55Z</dcterms:created>
  <dcterms:modified xsi:type="dcterms:W3CDTF">2017-05-25T12:27:51Z</dcterms:modified>
</cp:coreProperties>
</file>